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8800" windowHeight="12300"/>
  </bookViews>
  <sheets>
    <sheet name="Sheet1" sheetId="1" r:id="rId1"/>
    <sheet name="FEFP" sheetId="3" r:id="rId2"/>
    <sheet name="Salaries" sheetId="4" r:id="rId3"/>
  </sheets>
  <externalReferences>
    <externalReference r:id="rId4"/>
  </externalReference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0">Sheet1!$A:$E,Sheet1!$1:$1</definedName>
    <definedName name="QB_COLUMN_2921" localSheetId="0" hidden="1">Sheet1!$F$1</definedName>
    <definedName name="QB_COLUMN_29210" localSheetId="0" hidden="1">Sheet1!$O$1</definedName>
    <definedName name="QB_COLUMN_29211" localSheetId="0" hidden="1">Sheet1!$P$1</definedName>
    <definedName name="QB_COLUMN_29212" localSheetId="0" hidden="1">Sheet1!$Q$1</definedName>
    <definedName name="QB_COLUMN_2922" localSheetId="0" hidden="1">Sheet1!$G$1</definedName>
    <definedName name="QB_COLUMN_2923" localSheetId="0" hidden="1">Sheet1!$H$1</definedName>
    <definedName name="QB_COLUMN_2924" localSheetId="0" hidden="1">Sheet1!$I$1</definedName>
    <definedName name="QB_COLUMN_2925" localSheetId="0" hidden="1">Sheet1!$J$1</definedName>
    <definedName name="QB_COLUMN_2926" localSheetId="0" hidden="1">Sheet1!$K$1</definedName>
    <definedName name="QB_COLUMN_2927" localSheetId="0" hidden="1">Sheet1!$L$1</definedName>
    <definedName name="QB_COLUMN_2928" localSheetId="0" hidden="1">Sheet1!$M$1</definedName>
    <definedName name="QB_COLUMN_2929" localSheetId="0" hidden="1">Sheet1!$N$1</definedName>
    <definedName name="QB_COLUMN_2930" localSheetId="0" hidden="1">Sheet1!$R$1</definedName>
    <definedName name="QB_DATA_0" localSheetId="0" hidden="1">Sheet1!#REF!,Sheet1!#REF!,Sheet1!#REF!,Sheet1!#REF!,Sheet1!#REF!,Sheet1!#REF!,Sheet1!#REF!,Sheet1!#REF!,Sheet1!#REF!,Sheet1!#REF!,Sheet1!#REF!,Sheet1!#REF!,Sheet1!#REF!,Sheet1!#REF!,Sheet1!$4:$4,Sheet1!#REF!</definedName>
    <definedName name="QB_DATA_1" localSheetId="0" hidden="1">Sheet1!#REF!,Sheet1!#REF!,Sheet1!$5:$5,Sheet1!$7:$7,Sheet1!$9:$9,Sheet1!$12:$12,Sheet1!$13:$13,Sheet1!$14:$14,Sheet1!$17:$17,Sheet1!$18:$18,Sheet1!$19:$19,Sheet1!$25:$25,Sheet1!$26:$26,Sheet1!$30:$30,Sheet1!$31:$31,Sheet1!$32:$32</definedName>
    <definedName name="QB_DATA_2" localSheetId="0" hidden="1">Sheet1!$35:$35,Sheet1!$36:$36,Sheet1!$38:$38,Sheet1!$40:$40,Sheet1!$43:$43,Sheet1!$44:$44,Sheet1!$47:$47,Sheet1!$50:$50,Sheet1!$51:$51,Sheet1!$52:$52,Sheet1!$55:$55,Sheet1!$56:$56,Sheet1!$57:$57,Sheet1!$58:$58,Sheet1!$59:$59,Sheet1!$60:$60</definedName>
    <definedName name="QB_DATA_3" localSheetId="0" hidden="1">Sheet1!$61:$61,Sheet1!$64:$64,Sheet1!$67:$67,Sheet1!$68:$68,Sheet1!$69:$69,Sheet1!$70:$70,Sheet1!$71:$71,Sheet1!$72:$72,Sheet1!$73:$73,Sheet1!$74:$74,Sheet1!$75:$75,Sheet1!$76:$76,Sheet1!$77:$77,Sheet1!$80:$80,Sheet1!$81:$81,Sheet1!$86:$86</definedName>
    <definedName name="QB_FORMULA_0" localSheetId="0" hidden="1">Sheet1!#REF!,Sheet1!#REF!,Sheet1!#REF!,Sheet1!#REF!,Sheet1!#REF!,Sheet1!#REF!,Sheet1!#REF!,Sheet1!#REF!,Sheet1!#REF!,Sheet1!#REF!,Sheet1!#REF!,Sheet1!#REF!,Sheet1!#REF!,Sheet1!#REF!,Sheet1!$R$4,Sheet1!#REF!</definedName>
    <definedName name="QB_FORMULA_1" localSheetId="0" hidden="1">Sheet1!#REF!,Sheet1!#REF!,Sheet1!$R$5,Sheet1!$F$6,Sheet1!$G$6,Sheet1!$H$6,Sheet1!$I$6,Sheet1!$J$6,Sheet1!$K$6,Sheet1!$L$6,Sheet1!$M$6,Sheet1!$N$6,Sheet1!$O$6,Sheet1!$P$6,Sheet1!$Q$6,Sheet1!$R$6</definedName>
    <definedName name="QB_FORMULA_10" localSheetId="0" hidden="1">Sheet1!$J$48,Sheet1!$K$48,Sheet1!$L$48,Sheet1!$M$48,Sheet1!$N$48,Sheet1!$O$48,Sheet1!$P$48,Sheet1!$Q$48,Sheet1!$R$48,Sheet1!$R$50,Sheet1!$R$51,Sheet1!$R$52,Sheet1!$R$55,Sheet1!$R$56,Sheet1!$R$57,Sheet1!$R$58</definedName>
    <definedName name="QB_FORMULA_11" localSheetId="0" hidden="1">Sheet1!$R$59,Sheet1!$R$60,Sheet1!$R$61,Sheet1!$F$62,Sheet1!$G$62,Sheet1!$H$62,Sheet1!$I$62,Sheet1!$J$62,Sheet1!$K$62,Sheet1!$L$62,Sheet1!$M$62,Sheet1!$N$62,Sheet1!$O$62,Sheet1!$P$62,Sheet1!$Q$62,Sheet1!$R$62</definedName>
    <definedName name="QB_FORMULA_12" localSheetId="0" hidden="1">Sheet1!$R$64,Sheet1!$F$65,Sheet1!$G$65,Sheet1!$H$65,Sheet1!$I$65,Sheet1!$J$65,Sheet1!$K$65,Sheet1!$L$65,Sheet1!$M$65,Sheet1!$N$65,Sheet1!$O$65,Sheet1!$P$65,Sheet1!$Q$65,Sheet1!$R$65,Sheet1!$R$67,Sheet1!$R$68</definedName>
    <definedName name="QB_FORMULA_13" localSheetId="0" hidden="1">Sheet1!$R$69,Sheet1!$R$70,Sheet1!$R$71,Sheet1!$R$72,Sheet1!$R$73,Sheet1!$R$74,Sheet1!$R$75,Sheet1!$R$76,Sheet1!$R$77,Sheet1!$F$78,Sheet1!$G$78,Sheet1!$H$78,Sheet1!$I$78,Sheet1!$J$78,Sheet1!$K$78,Sheet1!$L$78</definedName>
    <definedName name="QB_FORMULA_14" localSheetId="0" hidden="1">Sheet1!$M$78,Sheet1!$N$78,Sheet1!$O$78,Sheet1!$P$78,Sheet1!$Q$78,Sheet1!$R$78,Sheet1!$R$80,Sheet1!$R$81,Sheet1!$F$82,Sheet1!$G$82,Sheet1!$H$82,Sheet1!$I$82,Sheet1!$J$82,Sheet1!$K$82,Sheet1!$L$82,Sheet1!$M$82</definedName>
    <definedName name="QB_FORMULA_15" localSheetId="0" hidden="1">Sheet1!$N$82,Sheet1!$O$82,Sheet1!$P$82,Sheet1!$Q$82,Sheet1!$R$82,Sheet1!$F$83,Sheet1!$G$83,Sheet1!$H$83,Sheet1!$I$83,Sheet1!$J$83,Sheet1!$K$83,Sheet1!$L$83,Sheet1!$M$83,Sheet1!$N$83,Sheet1!$O$83,Sheet1!$P$83</definedName>
    <definedName name="QB_FORMULA_16" localSheetId="0" hidden="1">Sheet1!$Q$83,Sheet1!$R$83,Sheet1!$R$86,Sheet1!$F$87,Sheet1!$G$87,Sheet1!$H$87,Sheet1!$I$87,Sheet1!$J$87,Sheet1!$K$87,Sheet1!$L$87,Sheet1!$M$87,Sheet1!$N$87,Sheet1!$O$87,Sheet1!$P$87,Sheet1!$Q$87,Sheet1!$R$87</definedName>
    <definedName name="QB_FORMULA_17" localSheetId="0" hidden="1">Sheet1!$F$88,Sheet1!$G$88,Sheet1!$H$88,Sheet1!$I$88,Sheet1!$J$88,Sheet1!$K$88,Sheet1!$L$88,Sheet1!$M$88,Sheet1!$N$88,Sheet1!$O$88,Sheet1!$P$88,Sheet1!$Q$88,Sheet1!$R$88,Sheet1!$F$89,Sheet1!$G$89,Sheet1!$H$89</definedName>
    <definedName name="QB_FORMULA_18" localSheetId="0" hidden="1">Sheet1!$I$89,Sheet1!$J$89,Sheet1!$K$89,Sheet1!$L$89,Sheet1!$M$89,Sheet1!$N$89,Sheet1!$O$89,Sheet1!$P$89,Sheet1!$Q$89,Sheet1!$R$89,Sheet1!$F$90,Sheet1!$G$90,Sheet1!$H$90,Sheet1!$I$90,Sheet1!$J$90,Sheet1!$K$90</definedName>
    <definedName name="QB_FORMULA_19" localSheetId="0" hidden="1">Sheet1!$L$90,Sheet1!$M$90,Sheet1!$N$90,Sheet1!$O$90,Sheet1!$P$90,Sheet1!$Q$90,Sheet1!$R$90</definedName>
    <definedName name="QB_FORMULA_2" localSheetId="0" hidden="1">Sheet1!$R$7,Sheet1!$R$9,Sheet1!$F$10,Sheet1!$G$10,Sheet1!$H$10,Sheet1!$I$10,Sheet1!$J$10,Sheet1!$K$10,Sheet1!$L$10,Sheet1!$M$10,Sheet1!$N$10,Sheet1!$O$10,Sheet1!$P$10,Sheet1!$Q$10,Sheet1!$R$10,Sheet1!$R$12</definedName>
    <definedName name="QB_FORMULA_3" localSheetId="0" hidden="1">Sheet1!$R$13,Sheet1!$R$14,Sheet1!$F$15,Sheet1!$G$15,Sheet1!$H$15,Sheet1!$I$15,Sheet1!$J$15,Sheet1!$K$15,Sheet1!$L$15,Sheet1!$M$15,Sheet1!$N$15,Sheet1!$O$15,Sheet1!$P$15,Sheet1!$Q$15,Sheet1!$R$15,Sheet1!$R$17</definedName>
    <definedName name="QB_FORMULA_4" localSheetId="0" hidden="1">Sheet1!$R$18,Sheet1!$R$19,Sheet1!$F$20,Sheet1!$G$20,Sheet1!$H$20,Sheet1!$I$20,Sheet1!$J$20,Sheet1!$K$20,Sheet1!$L$20,Sheet1!$M$20,Sheet1!$N$20,Sheet1!$O$20,Sheet1!$P$20,Sheet1!$Q$20,Sheet1!$R$20,Sheet1!$F$21</definedName>
    <definedName name="QB_FORMULA_5" localSheetId="0" hidden="1">Sheet1!$G$21,Sheet1!$H$21,Sheet1!$I$21,Sheet1!$J$21,Sheet1!$K$21,Sheet1!$L$21,Sheet1!$M$21,Sheet1!$N$21,Sheet1!$O$21,Sheet1!$P$21,Sheet1!$Q$21,Sheet1!$R$21,Sheet1!$R$25,Sheet1!$R$26,Sheet1!$R$30,Sheet1!$R$31</definedName>
    <definedName name="QB_FORMULA_6" localSheetId="0" hidden="1">Sheet1!$R$32,Sheet1!$F$33,Sheet1!$G$33,Sheet1!$H$33,Sheet1!$I$33,Sheet1!$J$33,Sheet1!$K$33,Sheet1!$L$33,Sheet1!$M$33,Sheet1!$N$33,Sheet1!$O$33,Sheet1!$P$33,Sheet1!$Q$33,Sheet1!$R$33,Sheet1!$R$35,Sheet1!$R$36</definedName>
    <definedName name="QB_FORMULA_7" localSheetId="0" hidden="1">Sheet1!$F$37,Sheet1!$G$37,Sheet1!$H$37,Sheet1!$I$37,Sheet1!$J$37,Sheet1!$K$37,Sheet1!$L$37,Sheet1!$M$37,Sheet1!$N$37,Sheet1!$O$37,Sheet1!$P$37,Sheet1!$Q$37,Sheet1!$R$37,Sheet1!$R$38,Sheet1!$R$40,Sheet1!$F$41</definedName>
    <definedName name="QB_FORMULA_8" localSheetId="0" hidden="1">Sheet1!$G$41,Sheet1!$H$41,Sheet1!$I$41,Sheet1!$J$41,Sheet1!$K$41,Sheet1!$L$41,Sheet1!$M$41,Sheet1!$N$41,Sheet1!$O$41,Sheet1!$P$41,Sheet1!$Q$41,Sheet1!$R$41,Sheet1!$R$43,Sheet1!$R$44,Sheet1!$F$45,Sheet1!$G$45</definedName>
    <definedName name="QB_FORMULA_9" localSheetId="0" hidden="1">Sheet1!$H$45,Sheet1!$I$45,Sheet1!$J$45,Sheet1!$K$45,Sheet1!$L$45,Sheet1!$M$45,Sheet1!$N$45,Sheet1!$O$45,Sheet1!$P$45,Sheet1!$Q$45,Sheet1!$R$45,Sheet1!$R$47,Sheet1!$F$48,Sheet1!$G$48,Sheet1!$H$48,Sheet1!$I$48</definedName>
    <definedName name="QB_ROW_18301" localSheetId="0" hidden="1">Sheet1!$A$90</definedName>
    <definedName name="QB_ROW_20012" localSheetId="0" hidden="1">Sheet1!$B$2</definedName>
    <definedName name="QB_ROW_20312" localSheetId="0" hidden="1">Sheet1!$B$21</definedName>
    <definedName name="QB_ROW_21012" localSheetId="0" hidden="1">Sheet1!$B$22</definedName>
    <definedName name="QB_ROW_21312" localSheetId="0" hidden="1">Sheet1!$B$89</definedName>
    <definedName name="QB_ROW_411020" localSheetId="0" hidden="1">Sheet1!$C$3</definedName>
    <definedName name="QB_ROW_411320" localSheetId="0" hidden="1">Sheet1!$C$6</definedName>
    <definedName name="QB_ROW_412230" localSheetId="0" hidden="1">Sheet1!#REF!</definedName>
    <definedName name="QB_ROW_413230" localSheetId="0" hidden="1">Sheet1!#REF!</definedName>
    <definedName name="QB_ROW_414230" localSheetId="0" hidden="1">Sheet1!#REF!</definedName>
    <definedName name="QB_ROW_415230" localSheetId="0" hidden="1">Sheet1!#REF!</definedName>
    <definedName name="QB_ROW_416230" localSheetId="0" hidden="1">Sheet1!#REF!</definedName>
    <definedName name="QB_ROW_417230" localSheetId="0" hidden="1">Sheet1!#REF!</definedName>
    <definedName name="QB_ROW_418230" localSheetId="0" hidden="1">Sheet1!#REF!</definedName>
    <definedName name="QB_ROW_422230" localSheetId="0" hidden="1">Sheet1!#REF!</definedName>
    <definedName name="QB_ROW_423230" localSheetId="0" hidden="1">Sheet1!#REF!</definedName>
    <definedName name="QB_ROW_424230" localSheetId="0" hidden="1">Sheet1!#REF!</definedName>
    <definedName name="QB_ROW_425230" localSheetId="0" hidden="1">Sheet1!#REF!</definedName>
    <definedName name="QB_ROW_426230" localSheetId="0" hidden="1">Sheet1!#REF!</definedName>
    <definedName name="QB_ROW_430230" localSheetId="0" hidden="1">Sheet1!$D$4</definedName>
    <definedName name="QB_ROW_432230" localSheetId="0" hidden="1">Sheet1!#REF!</definedName>
    <definedName name="QB_ROW_434230" localSheetId="0" hidden="1">Sheet1!#REF!</definedName>
    <definedName name="QB_ROW_435230" localSheetId="0" hidden="1">Sheet1!#REF!</definedName>
    <definedName name="QB_ROW_436220" localSheetId="0" hidden="1">Sheet1!$C$7</definedName>
    <definedName name="QB_ROW_439020" localSheetId="0" hidden="1">Sheet1!$C$8</definedName>
    <definedName name="QB_ROW_439320" localSheetId="0" hidden="1">Sheet1!$C$10</definedName>
    <definedName name="QB_ROW_440230" localSheetId="0" hidden="1">Sheet1!$D$9</definedName>
    <definedName name="QB_ROW_443020" localSheetId="0" hidden="1">Sheet1!$C$11</definedName>
    <definedName name="QB_ROW_443320" localSheetId="0" hidden="1">Sheet1!$C$15</definedName>
    <definedName name="QB_ROW_445230" localSheetId="0" hidden="1">Sheet1!$D$12</definedName>
    <definedName name="QB_ROW_463230" localSheetId="0" hidden="1">Sheet1!$D$14</definedName>
    <definedName name="QB_ROW_475020" localSheetId="0" hidden="1">Sheet1!$C$16</definedName>
    <definedName name="QB_ROW_475230" localSheetId="0" hidden="1">Sheet1!$D$19</definedName>
    <definedName name="QB_ROW_475320" localSheetId="0" hidden="1">Sheet1!$C$20</definedName>
    <definedName name="QB_ROW_476230" localSheetId="0" hidden="1">Sheet1!$D$17</definedName>
    <definedName name="QB_ROW_483020" localSheetId="0" hidden="1">Sheet1!$C$23</definedName>
    <definedName name="QB_ROW_483320" localSheetId="0" hidden="1">Sheet1!$C$83</definedName>
    <definedName name="QB_ROW_484030" localSheetId="0" hidden="1">Sheet1!$D$24</definedName>
    <definedName name="QB_ROW_484330" localSheetId="0" hidden="1">Sheet1!$D$33</definedName>
    <definedName name="QB_ROW_485240" localSheetId="0" hidden="1">Sheet1!$E$25</definedName>
    <definedName name="QB_ROW_490240" localSheetId="0" hidden="1">Sheet1!$E$26</definedName>
    <definedName name="QB_ROW_501240" localSheetId="0" hidden="1">Sheet1!$E$30</definedName>
    <definedName name="QB_ROW_506240" localSheetId="0" hidden="1">Sheet1!$E$32</definedName>
    <definedName name="QB_ROW_508030" localSheetId="0" hidden="1">Sheet1!$D$34</definedName>
    <definedName name="QB_ROW_508330" localSheetId="0" hidden="1">Sheet1!$D$37</definedName>
    <definedName name="QB_ROW_518240" localSheetId="0" hidden="1">Sheet1!$E$35</definedName>
    <definedName name="QB_ROW_520240" localSheetId="0" hidden="1">Sheet1!$E$36</definedName>
    <definedName name="QB_ROW_521330" localSheetId="0" hidden="1">Sheet1!$D$38</definedName>
    <definedName name="QB_ROW_523030" localSheetId="0" hidden="1">Sheet1!$D$39</definedName>
    <definedName name="QB_ROW_523330" localSheetId="0" hidden="1">Sheet1!$D$41</definedName>
    <definedName name="QB_ROW_532240" localSheetId="0" hidden="1">Sheet1!$E$40</definedName>
    <definedName name="QB_ROW_533030" localSheetId="0" hidden="1">Sheet1!$D$42</definedName>
    <definedName name="QB_ROW_533330" localSheetId="0" hidden="1">Sheet1!$D$45</definedName>
    <definedName name="QB_ROW_534240" localSheetId="0" hidden="1">Sheet1!$E$43</definedName>
    <definedName name="QB_ROW_536030" localSheetId="0" hidden="1">Sheet1!$D$49</definedName>
    <definedName name="QB_ROW_536330" localSheetId="0" hidden="1">Sheet1!$D$62</definedName>
    <definedName name="QB_ROW_537240" localSheetId="0" hidden="1">Sheet1!$E$50</definedName>
    <definedName name="QB_ROW_538240" localSheetId="0" hidden="1">Sheet1!$E$51</definedName>
    <definedName name="QB_ROW_540240" localSheetId="0" hidden="1">Sheet1!$E$52</definedName>
    <definedName name="QB_ROW_547240" localSheetId="0" hidden="1">Sheet1!$E$56</definedName>
    <definedName name="QB_ROW_551240" localSheetId="0" hidden="1">Sheet1!$E$57</definedName>
    <definedName name="QB_ROW_552240" localSheetId="0" hidden="1">Sheet1!$E$59</definedName>
    <definedName name="QB_ROW_556240" localSheetId="0" hidden="1">Sheet1!$E$60</definedName>
    <definedName name="QB_ROW_558240" localSheetId="0" hidden="1">Sheet1!$E$61</definedName>
    <definedName name="QB_ROW_560240" localSheetId="0" hidden="1">Sheet1!$E$58</definedName>
    <definedName name="QB_ROW_566030" localSheetId="0" hidden="1">Sheet1!$D$63</definedName>
    <definedName name="QB_ROW_566330" localSheetId="0" hidden="1">Sheet1!$D$65</definedName>
    <definedName name="QB_ROW_567240" localSheetId="0" hidden="1">Sheet1!$E$64</definedName>
    <definedName name="QB_ROW_568240" localSheetId="0" hidden="1">Sheet1!$E$47</definedName>
    <definedName name="QB_ROW_581030" localSheetId="0" hidden="1">Sheet1!$D$66</definedName>
    <definedName name="QB_ROW_581240" localSheetId="0" hidden="1">Sheet1!$E$77</definedName>
    <definedName name="QB_ROW_581330" localSheetId="0" hidden="1">Sheet1!$D$78</definedName>
    <definedName name="QB_ROW_591240" localSheetId="0" hidden="1">Sheet1!$E$67</definedName>
    <definedName name="QB_ROW_592240" localSheetId="0" hidden="1">Sheet1!$E$68</definedName>
    <definedName name="QB_ROW_593240" localSheetId="0" hidden="1">Sheet1!$E$70</definedName>
    <definedName name="QB_ROW_594240" localSheetId="0" hidden="1">Sheet1!$E$71</definedName>
    <definedName name="QB_ROW_595240" localSheetId="0" hidden="1">Sheet1!$E$72</definedName>
    <definedName name="QB_ROW_596240" localSheetId="0" hidden="1">Sheet1!$E$73</definedName>
    <definedName name="QB_ROW_597240" localSheetId="0" hidden="1">Sheet1!$E$74</definedName>
    <definedName name="QB_ROW_598240" localSheetId="0" hidden="1">Sheet1!$E$75</definedName>
    <definedName name="QB_ROW_599240" localSheetId="0" hidden="1">Sheet1!$E$76</definedName>
    <definedName name="QB_ROW_600030" localSheetId="0" hidden="1">Sheet1!$D$79</definedName>
    <definedName name="QB_ROW_600330" localSheetId="0" hidden="1">Sheet1!$D$82</definedName>
    <definedName name="QB_ROW_601240" localSheetId="0" hidden="1">Sheet1!$E$80</definedName>
    <definedName name="QB_ROW_602240" localSheetId="0" hidden="1">Sheet1!$E$81</definedName>
    <definedName name="QB_ROW_606020" localSheetId="0" hidden="1">Sheet1!$C$84</definedName>
    <definedName name="QB_ROW_606320" localSheetId="0" hidden="1">Sheet1!$C$88</definedName>
    <definedName name="QB_ROW_607030" localSheetId="0" hidden="1">Sheet1!$D$85</definedName>
    <definedName name="QB_ROW_607330" localSheetId="0" hidden="1">Sheet1!$D$87</definedName>
    <definedName name="QB_ROW_618240" localSheetId="0" hidden="1">Sheet1!$E$86</definedName>
    <definedName name="QB_ROW_676230" localSheetId="0" hidden="1">Sheet1!$D$13</definedName>
    <definedName name="QB_ROW_681230" localSheetId="0" hidden="1">Sheet1!$D$18</definedName>
    <definedName name="QB_ROW_682030" localSheetId="0" hidden="1">Sheet1!$D$46</definedName>
    <definedName name="QB_ROW_682330" localSheetId="0" hidden="1">Sheet1!$D$48</definedName>
    <definedName name="QB_ROW_684240" localSheetId="0" hidden="1">Sheet1!$E$44</definedName>
    <definedName name="QB_ROW_687240" localSheetId="0" hidden="1">Sheet1!$E$69</definedName>
    <definedName name="QB_ROW_688230" localSheetId="0" hidden="1">Sheet1!$D$5</definedName>
    <definedName name="QB_ROW_689240" localSheetId="0" hidden="1">Sheet1!$E$31</definedName>
    <definedName name="QB_ROW_698230" localSheetId="0" hidden="1">Sheet1!#REF!</definedName>
    <definedName name="QB_ROW_699230" localSheetId="0" hidden="1">Sheet1!#REF!</definedName>
    <definedName name="QB_ROW_712240" localSheetId="0" hidden="1">Sheet1!$E$55</definedName>
    <definedName name="QBCANSUPPORTUPDATE" localSheetId="0">TRUE</definedName>
    <definedName name="QBCOMPANYFILENAME" localSheetId="0">"Q:\Collaboratory Prep Academy (29-7822)\Collaboratory School Inc.qbw"</definedName>
    <definedName name="QBENDDATE" localSheetId="0">20200630</definedName>
    <definedName name="QBHEADERSONSCREEN" localSheetId="0">FALSE</definedName>
    <definedName name="QBMETADATASIZE" localSheetId="0">5914</definedName>
    <definedName name="QBPRESERVECOLOR" localSheetId="0">TRUE</definedName>
    <definedName name="QBPRESERVEFONT" localSheetId="0">TRUE</definedName>
    <definedName name="QBPRESERVEROWHEIGHT" localSheetId="0">TRUE</definedName>
    <definedName name="QBPRESERVESPACE" localSheetId="0">FALSE</definedName>
    <definedName name="QBREPORTCOLAXIS" localSheetId="0">6</definedName>
    <definedName name="QBREPORTCOMPANYID" localSheetId="0">"3d87ffe432c24acb9c311b9de14aa238"</definedName>
    <definedName name="QBREPORTCOMPARECOL_ANNUALBUDGET" localSheetId="0">FALSE</definedName>
    <definedName name="QBREPORTCOMPARECOL_AVGCOGS" localSheetId="0">FALSE</definedName>
    <definedName name="QBREPORTCOMPARECOL_AVGPRICE" localSheetId="0">FALSE</definedName>
    <definedName name="QBREPORTCOMPARECOL_BUDDIFF" localSheetId="0">FALSE</definedName>
    <definedName name="QBREPORTCOMPARECOL_BUDGET" localSheetId="0">FALSE</definedName>
    <definedName name="QBREPORTCOMPARECOL_BUDPCT" localSheetId="0">FALSE</definedName>
    <definedName name="QBREPORTCOMPARECOL_COGS" localSheetId="0">FALSE</definedName>
    <definedName name="QBREPORTCOMPARECOL_EXCLUDEAMOUNT" localSheetId="0">FALSE</definedName>
    <definedName name="QBREPORTCOMPARECOL_EXCLUDECURPERIOD" localSheetId="0">FALSE</definedName>
    <definedName name="QBREPORTCOMPARECOL_FORECAST" localSheetId="0">FALSE</definedName>
    <definedName name="QBREPORTCOMPARECOL_GROSSMARGIN" localSheetId="0">FALSE</definedName>
    <definedName name="QBREPORTCOMPARECOL_GROSSMARGINPCT" localSheetId="0">FALSE</definedName>
    <definedName name="QBREPORTCOMPARECOL_HOURS" localSheetId="0">FALSE</definedName>
    <definedName name="QBREPORTCOMPARECOL_PCTCOL" localSheetId="0">FALSE</definedName>
    <definedName name="QBREPORTCOMPARECOL_PCTEXPENSE" localSheetId="0">FALSE</definedName>
    <definedName name="QBREPORTCOMPARECOL_PCTINCOME" localSheetId="0">FALSE</definedName>
    <definedName name="QBREPORTCOMPARECOL_PCTOFSALES" localSheetId="0">FALSE</definedName>
    <definedName name="QBREPORTCOMPARECOL_PCTROW" localSheetId="0">FALSE</definedName>
    <definedName name="QBREPORTCOMPARECOL_PPDIFF" localSheetId="0">FALSE</definedName>
    <definedName name="QBREPORTCOMPARECOL_PPPCT" localSheetId="0">FALSE</definedName>
    <definedName name="QBREPORTCOMPARECOL_PREVPERIOD" localSheetId="0">FALSE</definedName>
    <definedName name="QBREPORTCOMPARECOL_PREVYEAR" localSheetId="0">FALSE</definedName>
    <definedName name="QBREPORTCOMPARECOL_PYDIFF" localSheetId="0">FALSE</definedName>
    <definedName name="QBREPORTCOMPARECOL_PYPCT" localSheetId="0">FALSE</definedName>
    <definedName name="QBREPORTCOMPARECOL_QTY" localSheetId="0">FALSE</definedName>
    <definedName name="QBREPORTCOMPARECOL_RATE" localSheetId="0">FALSE</definedName>
    <definedName name="QBREPORTCOMPARECOL_TRIPBILLEDMILES" localSheetId="0">FALSE</definedName>
    <definedName name="QBREPORTCOMPARECOL_TRIPBILLINGAMOUNT" localSheetId="0">FALSE</definedName>
    <definedName name="QBREPORTCOMPARECOL_TRIPMILES" localSheetId="0">FALSE</definedName>
    <definedName name="QBREPORTCOMPARECOL_TRIPNOTBILLABLEMILES" localSheetId="0">FALSE</definedName>
    <definedName name="QBREPORTCOMPARECOL_TRIPTAXDEDUCTIBLEAMOUNT" localSheetId="0">FALSE</definedName>
    <definedName name="QBREPORTCOMPARECOL_TRIPUNBILLEDMILES" localSheetId="0">FALSE</definedName>
    <definedName name="QBREPORTCOMPARECOL_YTD" localSheetId="0">FALSE</definedName>
    <definedName name="QBREPORTCOMPARECOL_YTDBUDGET" localSheetId="0">FALSE</definedName>
    <definedName name="QBREPORTCOMPARECOL_YTDPCT" localSheetId="0">FALSE</definedName>
    <definedName name="QBREPORTROWAXIS" localSheetId="0">11</definedName>
    <definedName name="QBREPORTSUBCOLAXIS" localSheetId="0">0</definedName>
    <definedName name="QBREPORTTYPE" localSheetId="0">0</definedName>
    <definedName name="QBROWHEADERS" localSheetId="0">5</definedName>
    <definedName name="QBSTARTDATE" localSheetId="0">20190701</definedName>
  </definedNames>
  <calcPr calcId="162913"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I12" i="1"/>
  <c r="J12" i="1"/>
  <c r="K12" i="1"/>
  <c r="L12" i="1"/>
  <c r="M12" i="1"/>
  <c r="N12" i="1"/>
  <c r="O12" i="1"/>
  <c r="P12" i="1"/>
  <c r="Q12" i="1"/>
  <c r="H17" i="1"/>
  <c r="R12" i="1"/>
  <c r="F7" i="1"/>
  <c r="I17" i="1"/>
  <c r="J17" i="1"/>
  <c r="R27" i="1"/>
  <c r="H27" i="1"/>
  <c r="I27" i="1"/>
  <c r="J27" i="1"/>
  <c r="K27" i="1"/>
  <c r="L27" i="1"/>
  <c r="M27" i="1"/>
  <c r="N27" i="1"/>
  <c r="O27" i="1"/>
  <c r="P27" i="1"/>
  <c r="Q27" i="1"/>
  <c r="G27" i="1"/>
  <c r="F27" i="1"/>
  <c r="Q29" i="1"/>
  <c r="P29" i="1"/>
  <c r="O29" i="1"/>
  <c r="N29" i="1"/>
  <c r="M29" i="1"/>
  <c r="L29" i="1"/>
  <c r="K29" i="1"/>
  <c r="J29" i="1"/>
  <c r="I29" i="1"/>
  <c r="H29" i="1"/>
  <c r="G29" i="1"/>
  <c r="F29" i="1"/>
  <c r="D5" i="4"/>
  <c r="C10" i="4"/>
  <c r="D10" i="4"/>
  <c r="D13" i="4"/>
  <c r="D14" i="4"/>
  <c r="D15" i="4"/>
  <c r="D16" i="4"/>
  <c r="D17" i="4"/>
  <c r="D18" i="4"/>
  <c r="F25" i="1"/>
  <c r="D23" i="4"/>
  <c r="D26" i="4"/>
  <c r="H73" i="1"/>
  <c r="I73" i="1"/>
  <c r="J73" i="1"/>
  <c r="K73" i="1"/>
  <c r="L73" i="1"/>
  <c r="M73" i="1"/>
  <c r="N73" i="1"/>
  <c r="O73" i="1"/>
  <c r="P73" i="1"/>
  <c r="G72" i="1"/>
  <c r="H72" i="1"/>
  <c r="I72" i="1"/>
  <c r="J72" i="1"/>
  <c r="K72" i="1"/>
  <c r="L72" i="1"/>
  <c r="M72" i="1"/>
  <c r="N72" i="1"/>
  <c r="O72" i="1"/>
  <c r="P72" i="1"/>
  <c r="Q72" i="1"/>
  <c r="G70" i="1"/>
  <c r="H70" i="1"/>
  <c r="I70" i="1"/>
  <c r="J70" i="1"/>
  <c r="K70" i="1"/>
  <c r="L70" i="1"/>
  <c r="M70" i="1"/>
  <c r="N70" i="1"/>
  <c r="O70" i="1"/>
  <c r="P70" i="1"/>
  <c r="Q70" i="1"/>
  <c r="G69" i="1"/>
  <c r="H69" i="1"/>
  <c r="I69" i="1"/>
  <c r="J69" i="1"/>
  <c r="K69" i="1"/>
  <c r="L69" i="1"/>
  <c r="M69" i="1"/>
  <c r="N69" i="1"/>
  <c r="O69" i="1"/>
  <c r="P69" i="1"/>
  <c r="Q69" i="1"/>
  <c r="G68" i="1"/>
  <c r="H68" i="1"/>
  <c r="I68" i="1"/>
  <c r="J68" i="1"/>
  <c r="K68" i="1"/>
  <c r="L68" i="1"/>
  <c r="M68" i="1"/>
  <c r="N68" i="1"/>
  <c r="O68" i="1"/>
  <c r="P68" i="1"/>
  <c r="Q68" i="1"/>
  <c r="R54" i="1"/>
  <c r="H56" i="1"/>
  <c r="I56" i="1"/>
  <c r="J56" i="1"/>
  <c r="K56" i="1"/>
  <c r="L56" i="1"/>
  <c r="M56" i="1"/>
  <c r="N56" i="1"/>
  <c r="O56" i="1"/>
  <c r="P56" i="1"/>
  <c r="H55" i="1"/>
  <c r="I55" i="1"/>
  <c r="J55" i="1"/>
  <c r="K55" i="1"/>
  <c r="L55" i="1"/>
  <c r="M55" i="1"/>
  <c r="N55" i="1"/>
  <c r="O55" i="1"/>
  <c r="P55" i="1"/>
  <c r="Q55" i="1"/>
  <c r="H9" i="1"/>
  <c r="I9" i="1"/>
  <c r="J9" i="1"/>
  <c r="K9" i="1"/>
  <c r="L9" i="1"/>
  <c r="M9" i="1"/>
  <c r="N9" i="1"/>
  <c r="O9" i="1"/>
  <c r="P9" i="1"/>
  <c r="P86" i="1"/>
  <c r="O86" i="1"/>
  <c r="N86" i="1"/>
  <c r="M86" i="1"/>
  <c r="L86" i="1"/>
  <c r="K86" i="1"/>
  <c r="J86" i="1"/>
  <c r="I86" i="1"/>
  <c r="H86" i="1"/>
  <c r="G86" i="1"/>
  <c r="F50" i="1"/>
  <c r="C22" i="4"/>
  <c r="C12" i="4"/>
  <c r="C11" i="4"/>
  <c r="C9" i="4"/>
  <c r="C6" i="4"/>
  <c r="C5" i="4"/>
  <c r="C4" i="4"/>
  <c r="G50" i="1"/>
  <c r="G53" i="1"/>
  <c r="F53" i="1"/>
  <c r="H50" i="1"/>
  <c r="H53" i="1"/>
  <c r="G52" i="1"/>
  <c r="F52" i="1"/>
  <c r="R29" i="1"/>
  <c r="H52" i="1"/>
  <c r="I50" i="1"/>
  <c r="I53" i="1"/>
  <c r="J50" i="1"/>
  <c r="J53" i="1"/>
  <c r="I52" i="1"/>
  <c r="J52" i="1"/>
  <c r="K50" i="1"/>
  <c r="K53" i="1"/>
  <c r="L50" i="1"/>
  <c r="L53" i="1"/>
  <c r="K52" i="1"/>
  <c r="M50" i="1"/>
  <c r="M53" i="1"/>
  <c r="L52" i="1"/>
  <c r="N50" i="1"/>
  <c r="N53" i="1"/>
  <c r="M52" i="1"/>
  <c r="O50" i="1"/>
  <c r="O53" i="1"/>
  <c r="N52" i="1"/>
  <c r="P50" i="1"/>
  <c r="P53" i="1"/>
  <c r="O52" i="1"/>
  <c r="Q50" i="1"/>
  <c r="P52" i="1"/>
  <c r="Q52" i="1"/>
  <c r="Q53" i="1"/>
  <c r="R53" i="1"/>
  <c r="H93" i="3"/>
  <c r="G85" i="3"/>
  <c r="G87" i="3"/>
  <c r="H87" i="3"/>
  <c r="G86" i="3"/>
  <c r="E85" i="3"/>
  <c r="E86" i="3"/>
  <c r="H86" i="3"/>
  <c r="H85" i="3"/>
  <c r="H88" i="3"/>
  <c r="G82" i="3"/>
  <c r="H82" i="3"/>
  <c r="G81" i="3"/>
  <c r="H81" i="3"/>
  <c r="E77" i="3"/>
  <c r="C77" i="3"/>
  <c r="C76" i="3"/>
  <c r="C75" i="3"/>
  <c r="H72" i="3"/>
  <c r="H71" i="3"/>
  <c r="H70" i="3"/>
  <c r="H69" i="3"/>
  <c r="H68" i="3"/>
  <c r="E67" i="3"/>
  <c r="H67" i="3"/>
  <c r="E66" i="3"/>
  <c r="H65" i="3"/>
  <c r="H64" i="3"/>
  <c r="H60" i="3"/>
  <c r="H59" i="3"/>
  <c r="H58" i="3"/>
  <c r="H57" i="3"/>
  <c r="H55" i="3"/>
  <c r="G53" i="3"/>
  <c r="G50" i="3"/>
  <c r="C39" i="3"/>
  <c r="C42" i="3"/>
  <c r="C48" i="3"/>
  <c r="G47" i="3"/>
  <c r="H47" i="3"/>
  <c r="G46" i="3"/>
  <c r="H46" i="3"/>
  <c r="G45" i="3"/>
  <c r="H45" i="3"/>
  <c r="G44" i="3"/>
  <c r="H44" i="3"/>
  <c r="G43" i="3"/>
  <c r="H43" i="3"/>
  <c r="G42" i="3"/>
  <c r="H42" i="3"/>
  <c r="G41" i="3"/>
  <c r="H41" i="3"/>
  <c r="G40" i="3"/>
  <c r="H40" i="3"/>
  <c r="G39" i="3"/>
  <c r="H39" i="3"/>
  <c r="H48" i="3"/>
  <c r="E36" i="3"/>
  <c r="C6" i="3"/>
  <c r="H35" i="3"/>
  <c r="H32" i="3"/>
  <c r="C27" i="3"/>
  <c r="G26" i="3"/>
  <c r="G25" i="3"/>
  <c r="H25" i="3"/>
  <c r="G24" i="3"/>
  <c r="H24" i="3"/>
  <c r="G23" i="3"/>
  <c r="H23" i="3"/>
  <c r="G22" i="3"/>
  <c r="G21" i="3"/>
  <c r="H21" i="3"/>
  <c r="G20" i="3"/>
  <c r="H20" i="3"/>
  <c r="G19" i="3"/>
  <c r="H19" i="3"/>
  <c r="G18" i="3"/>
  <c r="G17" i="3"/>
  <c r="H17" i="3"/>
  <c r="G16" i="3"/>
  <c r="H16" i="3"/>
  <c r="G15" i="3"/>
  <c r="H15" i="3"/>
  <c r="G14" i="3"/>
  <c r="G13" i="3"/>
  <c r="B76" i="3"/>
  <c r="G76" i="3"/>
  <c r="G12" i="3"/>
  <c r="H12" i="3"/>
  <c r="G11" i="3"/>
  <c r="B75" i="3"/>
  <c r="H31" i="3"/>
  <c r="C4" i="3"/>
  <c r="I30" i="1"/>
  <c r="Q31" i="1"/>
  <c r="P31" i="1"/>
  <c r="O31" i="1"/>
  <c r="N31" i="1"/>
  <c r="M31" i="1"/>
  <c r="L31" i="1"/>
  <c r="K31" i="1"/>
  <c r="J31" i="1"/>
  <c r="I31" i="1"/>
  <c r="H31" i="1"/>
  <c r="G31" i="1"/>
  <c r="F31" i="1"/>
  <c r="K14" i="1"/>
  <c r="N14" i="1"/>
  <c r="Q14" i="1"/>
  <c r="R14" i="1"/>
  <c r="G13" i="1"/>
  <c r="H13" i="1"/>
  <c r="Q87" i="1"/>
  <c r="Q88" i="1"/>
  <c r="P87" i="1"/>
  <c r="P88" i="1"/>
  <c r="O87" i="1"/>
  <c r="O88" i="1"/>
  <c r="N87" i="1"/>
  <c r="N88" i="1"/>
  <c r="M87" i="1"/>
  <c r="M88" i="1"/>
  <c r="L87" i="1"/>
  <c r="L88" i="1"/>
  <c r="K87" i="1"/>
  <c r="K88" i="1"/>
  <c r="J87" i="1"/>
  <c r="J88" i="1"/>
  <c r="I87" i="1"/>
  <c r="I88" i="1"/>
  <c r="H87" i="1"/>
  <c r="H88" i="1"/>
  <c r="G87" i="1"/>
  <c r="G88" i="1"/>
  <c r="F87" i="1"/>
  <c r="F88" i="1"/>
  <c r="R86" i="1"/>
  <c r="Q82" i="1"/>
  <c r="P82" i="1"/>
  <c r="O82" i="1"/>
  <c r="N82" i="1"/>
  <c r="M82" i="1"/>
  <c r="L82" i="1"/>
  <c r="K82" i="1"/>
  <c r="J82" i="1"/>
  <c r="I82" i="1"/>
  <c r="H82" i="1"/>
  <c r="G82" i="1"/>
  <c r="F82" i="1"/>
  <c r="R81" i="1"/>
  <c r="R80" i="1"/>
  <c r="Q78" i="1"/>
  <c r="P78" i="1"/>
  <c r="O78" i="1"/>
  <c r="N78" i="1"/>
  <c r="M78" i="1"/>
  <c r="L78" i="1"/>
  <c r="K78" i="1"/>
  <c r="J78" i="1"/>
  <c r="I78" i="1"/>
  <c r="H78" i="1"/>
  <c r="G78" i="1"/>
  <c r="F78" i="1"/>
  <c r="R77" i="1"/>
  <c r="R76" i="1"/>
  <c r="R75" i="1"/>
  <c r="R74" i="1"/>
  <c r="R73" i="1"/>
  <c r="R72" i="1"/>
  <c r="R71" i="1"/>
  <c r="R70" i="1"/>
  <c r="R69" i="1"/>
  <c r="R68" i="1"/>
  <c r="R67" i="1"/>
  <c r="Q62" i="1"/>
  <c r="P62" i="1"/>
  <c r="O62" i="1"/>
  <c r="N62" i="1"/>
  <c r="M62" i="1"/>
  <c r="L62" i="1"/>
  <c r="K62" i="1"/>
  <c r="J62" i="1"/>
  <c r="I62" i="1"/>
  <c r="H62" i="1"/>
  <c r="G62" i="1"/>
  <c r="F62" i="1"/>
  <c r="R61" i="1"/>
  <c r="R60" i="1"/>
  <c r="R59" i="1"/>
  <c r="R58" i="1"/>
  <c r="R57" i="1"/>
  <c r="R56" i="1"/>
  <c r="R55" i="1"/>
  <c r="R52" i="1"/>
  <c r="R51" i="1"/>
  <c r="R50" i="1"/>
  <c r="Q45" i="1"/>
  <c r="P45" i="1"/>
  <c r="O45" i="1"/>
  <c r="N45" i="1"/>
  <c r="M45" i="1"/>
  <c r="L45" i="1"/>
  <c r="K45" i="1"/>
  <c r="J45" i="1"/>
  <c r="I45" i="1"/>
  <c r="H45" i="1"/>
  <c r="G45" i="1"/>
  <c r="F45" i="1"/>
  <c r="R44" i="1"/>
  <c r="R43" i="1"/>
  <c r="Q41" i="1"/>
  <c r="P41" i="1"/>
  <c r="O41" i="1"/>
  <c r="N41" i="1"/>
  <c r="M41" i="1"/>
  <c r="L41" i="1"/>
  <c r="K41" i="1"/>
  <c r="J41" i="1"/>
  <c r="I41" i="1"/>
  <c r="H41" i="1"/>
  <c r="G41" i="1"/>
  <c r="F41" i="1"/>
  <c r="R40" i="1"/>
  <c r="R38" i="1"/>
  <c r="Q37" i="1"/>
  <c r="P37" i="1"/>
  <c r="O37" i="1"/>
  <c r="N37" i="1"/>
  <c r="M37" i="1"/>
  <c r="L37" i="1"/>
  <c r="K37" i="1"/>
  <c r="J37" i="1"/>
  <c r="I37" i="1"/>
  <c r="H37" i="1"/>
  <c r="G37" i="1"/>
  <c r="F37" i="1"/>
  <c r="R36" i="1"/>
  <c r="R35" i="1"/>
  <c r="R32" i="1"/>
  <c r="R30" i="1"/>
  <c r="I20" i="1"/>
  <c r="H20" i="1"/>
  <c r="G20" i="1"/>
  <c r="F20" i="1"/>
  <c r="R19" i="1"/>
  <c r="R18" i="1"/>
  <c r="G15" i="1"/>
  <c r="F15" i="1"/>
  <c r="Q10" i="1"/>
  <c r="H10" i="1"/>
  <c r="G10" i="1"/>
  <c r="F10" i="1"/>
  <c r="R5" i="1"/>
  <c r="R4" i="1"/>
  <c r="H13" i="3"/>
  <c r="C50" i="3"/>
  <c r="G51" i="3"/>
  <c r="M64" i="1"/>
  <c r="M65" i="1"/>
  <c r="L64" i="1"/>
  <c r="L65" i="1"/>
  <c r="J64" i="1"/>
  <c r="J65" i="1"/>
  <c r="Q64" i="1"/>
  <c r="Q65" i="1"/>
  <c r="P64" i="1"/>
  <c r="P65" i="1"/>
  <c r="H64" i="1"/>
  <c r="H65" i="1"/>
  <c r="O64" i="1"/>
  <c r="O65" i="1"/>
  <c r="N64" i="1"/>
  <c r="N65" i="1"/>
  <c r="K64" i="1"/>
  <c r="K65" i="1"/>
  <c r="I64" i="1"/>
  <c r="I65" i="1"/>
  <c r="F64" i="1"/>
  <c r="G64" i="1"/>
  <c r="G65" i="1"/>
  <c r="G7" i="1"/>
  <c r="H7" i="1"/>
  <c r="I7" i="1"/>
  <c r="J7" i="1"/>
  <c r="K7" i="1"/>
  <c r="L7" i="1"/>
  <c r="M7" i="1"/>
  <c r="N7" i="1"/>
  <c r="O7" i="1"/>
  <c r="P7" i="1"/>
  <c r="Q7" i="1"/>
  <c r="R62" i="1"/>
  <c r="R82" i="1"/>
  <c r="R45" i="1"/>
  <c r="R37" i="1"/>
  <c r="R41" i="1"/>
  <c r="R87" i="1"/>
  <c r="R78" i="1"/>
  <c r="I10" i="1"/>
  <c r="R88" i="1"/>
  <c r="I13" i="1"/>
  <c r="H15" i="1"/>
  <c r="R31" i="1"/>
  <c r="B77" i="3"/>
  <c r="B78" i="3"/>
  <c r="G75" i="3"/>
  <c r="G27" i="3"/>
  <c r="E37" i="3"/>
  <c r="C53" i="3"/>
  <c r="G54" i="3"/>
  <c r="G66" i="3"/>
  <c r="H66" i="3"/>
  <c r="G77" i="3"/>
  <c r="H33" i="3"/>
  <c r="H14" i="3"/>
  <c r="H18" i="3"/>
  <c r="H22" i="3"/>
  <c r="H26" i="3"/>
  <c r="H34" i="3"/>
  <c r="H11" i="3"/>
  <c r="H30" i="3"/>
  <c r="F65" i="1"/>
  <c r="R65" i="1"/>
  <c r="R64" i="1"/>
  <c r="R7" i="1"/>
  <c r="J13" i="1"/>
  <c r="I15" i="1"/>
  <c r="J10" i="1"/>
  <c r="H36" i="3"/>
  <c r="H27" i="3"/>
  <c r="H37" i="3"/>
  <c r="H78" i="3"/>
  <c r="H91" i="3"/>
  <c r="K6" i="1"/>
  <c r="K47" i="1"/>
  <c r="K48" i="1"/>
  <c r="J6" i="1"/>
  <c r="J47" i="1"/>
  <c r="J48" i="1"/>
  <c r="L6" i="1"/>
  <c r="L47" i="1"/>
  <c r="L48" i="1"/>
  <c r="Q6" i="1"/>
  <c r="Q47" i="1"/>
  <c r="Q48" i="1"/>
  <c r="I6" i="1"/>
  <c r="I47" i="1"/>
  <c r="I48" i="1"/>
  <c r="P6" i="1"/>
  <c r="P47" i="1"/>
  <c r="P48" i="1"/>
  <c r="H6" i="1"/>
  <c r="O6" i="1"/>
  <c r="O47" i="1"/>
  <c r="O48" i="1"/>
  <c r="G6" i="1"/>
  <c r="N6" i="1"/>
  <c r="N47" i="1"/>
  <c r="N48" i="1"/>
  <c r="F6" i="1"/>
  <c r="M6" i="1"/>
  <c r="M47" i="1"/>
  <c r="M48" i="1"/>
  <c r="K10" i="1"/>
  <c r="K13" i="1"/>
  <c r="J15" i="1"/>
  <c r="F47" i="1"/>
  <c r="R6" i="1"/>
  <c r="F21" i="1"/>
  <c r="H47" i="1"/>
  <c r="H48" i="1"/>
  <c r="G47" i="1"/>
  <c r="G48" i="1"/>
  <c r="G21" i="1"/>
  <c r="L13" i="1"/>
  <c r="K15" i="1"/>
  <c r="L10" i="1"/>
  <c r="F48" i="1"/>
  <c r="R47" i="1"/>
  <c r="M10" i="1"/>
  <c r="M13" i="1"/>
  <c r="L15" i="1"/>
  <c r="R48" i="1"/>
  <c r="M15" i="1"/>
  <c r="N13" i="1"/>
  <c r="N10" i="1"/>
  <c r="O10" i="1"/>
  <c r="P10" i="1"/>
  <c r="R10" i="1"/>
  <c r="N15" i="1"/>
  <c r="O13" i="1"/>
  <c r="P13" i="1"/>
  <c r="O15" i="1"/>
  <c r="R9" i="1"/>
  <c r="Q13" i="1"/>
  <c r="P15" i="1"/>
  <c r="Q15" i="1"/>
  <c r="R13" i="1"/>
  <c r="F26" i="1"/>
  <c r="G25" i="1"/>
  <c r="F28" i="1"/>
  <c r="R15" i="1"/>
  <c r="I21" i="1"/>
  <c r="J20" i="1"/>
  <c r="J21" i="1"/>
  <c r="K17" i="1"/>
  <c r="H21" i="1"/>
  <c r="G26" i="1"/>
  <c r="H25" i="1"/>
  <c r="G28" i="1"/>
  <c r="F33" i="1"/>
  <c r="K20" i="1"/>
  <c r="L17" i="1"/>
  <c r="G33" i="1"/>
  <c r="G83" i="1"/>
  <c r="G89" i="1"/>
  <c r="G90" i="1"/>
  <c r="F83" i="1"/>
  <c r="H26" i="1"/>
  <c r="H33" i="1"/>
  <c r="H83" i="1"/>
  <c r="H89" i="1"/>
  <c r="H90" i="1"/>
  <c r="I25" i="1"/>
  <c r="H28" i="1"/>
  <c r="K21" i="1"/>
  <c r="L20" i="1"/>
  <c r="L21" i="1"/>
  <c r="M17" i="1"/>
  <c r="F89" i="1"/>
  <c r="J25" i="1"/>
  <c r="I26" i="1"/>
  <c r="I33" i="1"/>
  <c r="I28" i="1"/>
  <c r="M20" i="1"/>
  <c r="M21" i="1"/>
  <c r="N17" i="1"/>
  <c r="I83" i="1"/>
  <c r="K25" i="1"/>
  <c r="J33" i="1"/>
  <c r="J83" i="1"/>
  <c r="J89" i="1"/>
  <c r="J90" i="1"/>
  <c r="J26" i="1"/>
  <c r="J28" i="1"/>
  <c r="F90" i="1"/>
  <c r="N20" i="1"/>
  <c r="O17" i="1"/>
  <c r="K26" i="1"/>
  <c r="K28" i="1"/>
  <c r="K33" i="1"/>
  <c r="L25" i="1"/>
  <c r="I89" i="1"/>
  <c r="P17" i="1"/>
  <c r="O20" i="1"/>
  <c r="O21" i="1"/>
  <c r="N21" i="1"/>
  <c r="K83" i="1"/>
  <c r="I90" i="1"/>
  <c r="L28" i="1"/>
  <c r="M25" i="1"/>
  <c r="L26" i="1"/>
  <c r="L33" i="1"/>
  <c r="L83" i="1"/>
  <c r="L89" i="1"/>
  <c r="L90" i="1"/>
  <c r="Q17" i="1"/>
  <c r="P20" i="1"/>
  <c r="P21" i="1"/>
  <c r="N25" i="1"/>
  <c r="M28" i="1"/>
  <c r="M26" i="1"/>
  <c r="M33" i="1"/>
  <c r="M83" i="1"/>
  <c r="K89" i="1"/>
  <c r="Q20" i="1"/>
  <c r="R17" i="1"/>
  <c r="M89" i="1"/>
  <c r="M90" i="1"/>
  <c r="K90" i="1"/>
  <c r="O25" i="1"/>
  <c r="N26" i="1"/>
  <c r="N28" i="1"/>
  <c r="N33" i="1"/>
  <c r="N83" i="1"/>
  <c r="N89" i="1"/>
  <c r="N90" i="1"/>
  <c r="Q21" i="1"/>
  <c r="R20" i="1"/>
  <c r="O26" i="1"/>
  <c r="O28" i="1"/>
  <c r="O33" i="1"/>
  <c r="O83" i="1"/>
  <c r="O89" i="1"/>
  <c r="P25" i="1"/>
  <c r="R21" i="1"/>
  <c r="O90" i="1"/>
  <c r="P28" i="1"/>
  <c r="Q25" i="1"/>
  <c r="P26" i="1"/>
  <c r="P33" i="1"/>
  <c r="P83" i="1"/>
  <c r="P89" i="1"/>
  <c r="P90" i="1"/>
  <c r="Q26" i="1"/>
  <c r="R26" i="1"/>
  <c r="Q28" i="1"/>
  <c r="R28" i="1"/>
  <c r="Q33" i="1"/>
  <c r="R25" i="1"/>
  <c r="Q83" i="1"/>
  <c r="R33" i="1"/>
  <c r="Q89" i="1"/>
  <c r="R83" i="1"/>
  <c r="Q90" i="1"/>
  <c r="R90" i="1"/>
  <c r="R89" i="1"/>
</calcChain>
</file>

<file path=xl/comments1.xml><?xml version="1.0" encoding="utf-8"?>
<comments xmlns="http://schemas.openxmlformats.org/spreadsheetml/2006/main">
  <authors>
    <author>Kevin Lugar</author>
  </authors>
  <commentList>
    <comment ref="C11" authorId="0">
      <text>
        <r>
          <rPr>
            <b/>
            <sz val="9"/>
            <color indexed="81"/>
            <rFont val="Tahoma"/>
            <family val="2"/>
          </rPr>
          <t>19-20: 34</t>
        </r>
      </text>
    </comment>
    <comment ref="C12" authorId="0">
      <text>
        <r>
          <rPr>
            <b/>
            <sz val="9"/>
            <color indexed="81"/>
            <rFont val="Tahoma"/>
            <family val="2"/>
          </rPr>
          <t>19-20: 9</t>
        </r>
        <r>
          <rPr>
            <sz val="9"/>
            <color indexed="81"/>
            <rFont val="Tahoma"/>
            <family val="2"/>
          </rPr>
          <t xml:space="preserve">
</t>
        </r>
      </text>
    </comment>
    <comment ref="C13" authorId="0">
      <text>
        <r>
          <rPr>
            <b/>
            <sz val="9"/>
            <color indexed="81"/>
            <rFont val="Tahoma"/>
            <family val="2"/>
          </rPr>
          <t>19-20: 152.86</t>
        </r>
      </text>
    </comment>
    <comment ref="C14" authorId="0">
      <text>
        <r>
          <rPr>
            <b/>
            <sz val="9"/>
            <color indexed="81"/>
            <rFont val="Tahoma"/>
            <family val="2"/>
          </rPr>
          <t>19-20: 88.37</t>
        </r>
      </text>
    </comment>
    <comment ref="C23" authorId="0">
      <text>
        <r>
          <rPr>
            <b/>
            <sz val="9"/>
            <color indexed="81"/>
            <rFont val="Tahoma"/>
            <family val="2"/>
          </rPr>
          <t>19-20: .43</t>
        </r>
      </text>
    </comment>
  </commentList>
</comments>
</file>

<file path=xl/sharedStrings.xml><?xml version="1.0" encoding="utf-8"?>
<sst xmlns="http://schemas.openxmlformats.org/spreadsheetml/2006/main" count="308" uniqueCount="268">
  <si>
    <t>TOTAL</t>
  </si>
  <si>
    <t>Income</t>
  </si>
  <si>
    <t>110-R · General Operating</t>
  </si>
  <si>
    <t>3334579 · Teacher Lead Program</t>
  </si>
  <si>
    <t>Total 110-R · General Operating</t>
  </si>
  <si>
    <t>3397000 · Capital Outlay</t>
  </si>
  <si>
    <t>410-R · Food Services</t>
  </si>
  <si>
    <t>3261000 · Lunch Reimbursement (State)</t>
  </si>
  <si>
    <t>Total 410-R · Food Services</t>
  </si>
  <si>
    <t>411-R · Internal Revenue</t>
  </si>
  <si>
    <t>3492001 · Contributrions &amp; Donations</t>
  </si>
  <si>
    <t>3493000 · Interest Income</t>
  </si>
  <si>
    <t>3495000 · Miscellaneous Income</t>
  </si>
  <si>
    <t>Total 411-R · Internal Revenue</t>
  </si>
  <si>
    <t>421-R · Federal Grants</t>
  </si>
  <si>
    <t>3240313 · Title 1 Income</t>
  </si>
  <si>
    <t>3250000 · CSP Grant</t>
  </si>
  <si>
    <t>421-R · Federal Grants - Other</t>
  </si>
  <si>
    <t>Total 421-R · Federal Grants</t>
  </si>
  <si>
    <t>Total Income</t>
  </si>
  <si>
    <t>Expense</t>
  </si>
  <si>
    <t>110-E · Expenditures</t>
  </si>
  <si>
    <t>5100000 · Instruction</t>
  </si>
  <si>
    <t>5100120 · Classroom Teachers</t>
  </si>
  <si>
    <t>5100220 · FICA</t>
  </si>
  <si>
    <t>5100510 · Classroom Supplies</t>
  </si>
  <si>
    <t>5100730 · Dues and Subscriptions</t>
  </si>
  <si>
    <t>Total 5100000 · Instruction</t>
  </si>
  <si>
    <t>5200000 · ESE Instruction</t>
  </si>
  <si>
    <t>5200310 · Prof and Tech</t>
  </si>
  <si>
    <t>5200510 · ESE Supplies</t>
  </si>
  <si>
    <t>Total 5200000 · ESE Instruction</t>
  </si>
  <si>
    <t>5600000 · Classroom Costs</t>
  </si>
  <si>
    <t>6300000 · Instruction &amp; Curriculum Develo</t>
  </si>
  <si>
    <t>6300510 · Curriculum Supplies</t>
  </si>
  <si>
    <t>Total 6300000 · Instruction &amp; Curriculum Develo</t>
  </si>
  <si>
    <t>7100000 · Board Expenses</t>
  </si>
  <si>
    <t>7100310 · Professional and Technical Serv</t>
  </si>
  <si>
    <t>7100730 · Dues and Subscriptions Board</t>
  </si>
  <si>
    <t>Total 7100000 · Board Expenses</t>
  </si>
  <si>
    <t>7200000 · General Administration</t>
  </si>
  <si>
    <t>7200310 · District Administrative Fee</t>
  </si>
  <si>
    <t>Total 7200000 · General Administration</t>
  </si>
  <si>
    <t>7300000 · School Administration</t>
  </si>
  <si>
    <t>7300110 · Admin Salary</t>
  </si>
  <si>
    <t>7300160 · Administrtive support</t>
  </si>
  <si>
    <t>7300220 · FICA Admin</t>
  </si>
  <si>
    <t>7300310 · Prof and Tech Admin</t>
  </si>
  <si>
    <t>7300311 · Legal</t>
  </si>
  <si>
    <t>7300390 · Bank Fees</t>
  </si>
  <si>
    <t>7300391 · Advertising</t>
  </si>
  <si>
    <t>7300510 · Office Supplies</t>
  </si>
  <si>
    <t>7300730 · Dues and Subscriptions</t>
  </si>
  <si>
    <t>Total 7300000 · School Administration</t>
  </si>
  <si>
    <t>7500000 · Fiscal Services</t>
  </si>
  <si>
    <t>7500310 · Professional &amp; Technical Servic</t>
  </si>
  <si>
    <t>Total 7500000 · Fiscal Services</t>
  </si>
  <si>
    <t>7900000 · Operations of the Plant</t>
  </si>
  <si>
    <t>7900310 · Payroll Expenses</t>
  </si>
  <si>
    <t>7900320 · Insurance and Bond Premium</t>
  </si>
  <si>
    <t>7900360 · Facilities Rental</t>
  </si>
  <si>
    <t>7900370 · Telephone</t>
  </si>
  <si>
    <t>7900380 · Public Utilities Services</t>
  </si>
  <si>
    <t>7900390 · Purchased Services</t>
  </si>
  <si>
    <t>7900391 · Security</t>
  </si>
  <si>
    <t>7900430 · Electricity</t>
  </si>
  <si>
    <t>7900590 · Other Materials and Supplies</t>
  </si>
  <si>
    <t>7900730 · Dues and Fees</t>
  </si>
  <si>
    <t>7900000 · Operations of the Plant - Other</t>
  </si>
  <si>
    <t>Total 7900000 · Operations of the Plant</t>
  </si>
  <si>
    <t>8100000 · Maintenance of Plant</t>
  </si>
  <si>
    <t>8100310 · Repair and Maintenance Prof and</t>
  </si>
  <si>
    <t>8100350 · Repairs and Maintenance</t>
  </si>
  <si>
    <t>Total 8100000 · Maintenance of Plant</t>
  </si>
  <si>
    <t>Total 110-E · Expenditures</t>
  </si>
  <si>
    <t>410-E · Food Service Expenditure</t>
  </si>
  <si>
    <t>7600000 · Food Service Expenses</t>
  </si>
  <si>
    <t>7600570 · Food</t>
  </si>
  <si>
    <t>Total 7600000 · Food Service Expenses</t>
  </si>
  <si>
    <t>Total 410-E · Food Service Expenditure</t>
  </si>
  <si>
    <t>Total Expense</t>
  </si>
  <si>
    <t>Net Income</t>
  </si>
  <si>
    <t>Jul 20</t>
  </si>
  <si>
    <t>Aug 20</t>
  </si>
  <si>
    <t>Sep 20</t>
  </si>
  <si>
    <t>Oct 20</t>
  </si>
  <si>
    <t>Nov 20</t>
  </si>
  <si>
    <t>Dec 20</t>
  </si>
  <si>
    <t>Jan 21</t>
  </si>
  <si>
    <t>Feb 21</t>
  </si>
  <si>
    <t>Mar 21</t>
  </si>
  <si>
    <t>Apr 21</t>
  </si>
  <si>
    <t>May 21</t>
  </si>
  <si>
    <t>Jun 21</t>
  </si>
  <si>
    <t>5100XXX · Teacher Lead Expense</t>
  </si>
  <si>
    <t xml:space="preserve"> Revenue Estimate Worksheet for___________Charter School </t>
  </si>
  <si>
    <t xml:space="preserve">School District: </t>
  </si>
  <si>
    <t>FEFP Increase</t>
  </si>
  <si>
    <t>1.   2019-20 FEFP State and Local Funding</t>
  </si>
  <si>
    <t>Base Student Allocation</t>
  </si>
  <si>
    <t xml:space="preserve">District Cost Differential: </t>
  </si>
  <si>
    <t>2019-20</t>
  </si>
  <si>
    <t>Program</t>
  </si>
  <si>
    <t>Weighted FTE</t>
  </si>
  <si>
    <t>Base Funding</t>
  </si>
  <si>
    <t>Number of FTE</t>
  </si>
  <si>
    <t>Cost Factor</t>
  </si>
  <si>
    <t>(2) x (3)</t>
  </si>
  <si>
    <t>(WFTE x BSA x DCD)</t>
  </si>
  <si>
    <t>(1)</t>
  </si>
  <si>
    <t>(2)</t>
  </si>
  <si>
    <t>(3)</t>
  </si>
  <si>
    <t>(4)</t>
  </si>
  <si>
    <t>(5)</t>
  </si>
  <si>
    <t>101 Basic K-3</t>
  </si>
  <si>
    <t>111 Basic K-3 with ESE Services</t>
  </si>
  <si>
    <t>102 Basic 4-8</t>
  </si>
  <si>
    <t>112 Basic 4-8 with ESE Services</t>
  </si>
  <si>
    <t>103 Basic 9-12</t>
  </si>
  <si>
    <t>113 Basic 9-12 with ESE Services</t>
  </si>
  <si>
    <r>
      <t xml:space="preserve">254 ESE Level 4 </t>
    </r>
    <r>
      <rPr>
        <b/>
        <i/>
        <sz val="12"/>
        <color indexed="8"/>
        <rFont val="Times New Roman"/>
        <family val="1"/>
      </rPr>
      <t>(Grade Level PK-3</t>
    </r>
    <r>
      <rPr>
        <b/>
        <sz val="12"/>
        <color indexed="8"/>
        <rFont val="Times New Roman"/>
        <family val="1"/>
      </rPr>
      <t>)</t>
    </r>
  </si>
  <si>
    <r>
      <t xml:space="preserve">254 ESE Level 4 </t>
    </r>
    <r>
      <rPr>
        <b/>
        <i/>
        <sz val="12"/>
        <color indexed="8"/>
        <rFont val="Times New Roman"/>
        <family val="1"/>
      </rPr>
      <t>(Grade Level 4-8)</t>
    </r>
  </si>
  <si>
    <r>
      <t>254 ESE Level 4</t>
    </r>
    <r>
      <rPr>
        <b/>
        <i/>
        <sz val="12"/>
        <color indexed="8"/>
        <rFont val="Times New Roman"/>
        <family val="1"/>
      </rPr>
      <t xml:space="preserve"> (Grade Level 9-12)</t>
    </r>
  </si>
  <si>
    <r>
      <t xml:space="preserve">255 ESE Level 5 </t>
    </r>
    <r>
      <rPr>
        <b/>
        <i/>
        <sz val="12"/>
        <color indexed="8"/>
        <rFont val="Times New Roman"/>
        <family val="1"/>
      </rPr>
      <t>(Grade Level PK-3</t>
    </r>
    <r>
      <rPr>
        <b/>
        <sz val="12"/>
        <color indexed="8"/>
        <rFont val="Times New Roman"/>
        <family val="1"/>
      </rPr>
      <t>)</t>
    </r>
  </si>
  <si>
    <r>
      <t xml:space="preserve">255 ESE Level 5 </t>
    </r>
    <r>
      <rPr>
        <b/>
        <i/>
        <sz val="12"/>
        <color indexed="8"/>
        <rFont val="Times New Roman"/>
        <family val="1"/>
      </rPr>
      <t>(Grade Level 4-8)</t>
    </r>
  </si>
  <si>
    <r>
      <t>255 ESE Level 5</t>
    </r>
    <r>
      <rPr>
        <b/>
        <i/>
        <sz val="12"/>
        <color indexed="8"/>
        <rFont val="Times New Roman"/>
        <family val="1"/>
      </rPr>
      <t xml:space="preserve"> (Grade Level 9-12)</t>
    </r>
  </si>
  <si>
    <r>
      <t xml:space="preserve">130 ESOL </t>
    </r>
    <r>
      <rPr>
        <b/>
        <i/>
        <sz val="12"/>
        <color indexed="8"/>
        <rFont val="Times New Roman"/>
        <family val="1"/>
      </rPr>
      <t>(Grade Level PK-3)</t>
    </r>
  </si>
  <si>
    <r>
      <t xml:space="preserve">130 ESOL </t>
    </r>
    <r>
      <rPr>
        <b/>
        <i/>
        <sz val="12"/>
        <color indexed="8"/>
        <rFont val="Times New Roman"/>
        <family val="1"/>
      </rPr>
      <t>(Grade Level 4-8)</t>
    </r>
  </si>
  <si>
    <r>
      <t xml:space="preserve">130 ESOL </t>
    </r>
    <r>
      <rPr>
        <b/>
        <i/>
        <sz val="12"/>
        <color indexed="8"/>
        <rFont val="Times New Roman"/>
        <family val="1"/>
      </rPr>
      <t>(Grade Level 9-12)</t>
    </r>
  </si>
  <si>
    <r>
      <t xml:space="preserve">300 Career Education </t>
    </r>
    <r>
      <rPr>
        <b/>
        <i/>
        <sz val="12"/>
        <color indexed="8"/>
        <rFont val="Times New Roman"/>
        <family val="1"/>
      </rPr>
      <t>(Grades 9-12)</t>
    </r>
  </si>
  <si>
    <t>Totals</t>
  </si>
  <si>
    <t>Letters in Parentheses Refer to Notes at Bottom of Worksheet:</t>
  </si>
  <si>
    <t>Additional FTE (a)</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</si>
  <si>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</si>
  <si>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2019-20                             Base Funding                          (WFTE x BSA x DCD)</t>
  </si>
  <si>
    <t>Advanced Placement</t>
  </si>
  <si>
    <t>International Baccalaureate</t>
  </si>
  <si>
    <t>Advanced International Certificate</t>
  </si>
  <si>
    <t>Industry Certified Career Education</t>
  </si>
  <si>
    <t>Early High School Graduation</t>
  </si>
  <si>
    <t>Small District ESE Supplement</t>
  </si>
  <si>
    <t>Total Additional FTE</t>
  </si>
  <si>
    <t>Additional Base Funds</t>
  </si>
  <si>
    <t xml:space="preserve">Total Funded Weighted FTE </t>
  </si>
  <si>
    <t>Total Base Funding</t>
  </si>
  <si>
    <t>2.   ESE Guaranteed Allocation:</t>
  </si>
  <si>
    <t>FTE</t>
  </si>
  <si>
    <t>Grade Level</t>
  </si>
  <si>
    <t>Matrix Level</t>
  </si>
  <si>
    <t>Guarantee Per Student</t>
  </si>
  <si>
    <t>Additional Funding from the ESE Guaranteed Allocation. Enter the FTE from 111,112 and 113 by grade and matrix level.  Students who do not have a matrix level should be considered 251.  This total should equal all FTE from programs 111, 112 and 113 above.</t>
  </si>
  <si>
    <t>PK-3</t>
  </si>
  <si>
    <t>4-8</t>
  </si>
  <si>
    <t>9-12</t>
  </si>
  <si>
    <t>Total FTE with ESE Services</t>
  </si>
  <si>
    <t>Total ESE Guarantee</t>
  </si>
  <si>
    <t>3A. Divide school's Unweighted FTE (UFTE) total computed in Section 1, cell C27 above by the district's total UFTE to obtain school's</t>
  </si>
  <si>
    <t xml:space="preserve"> UFTE share.           Charter School UFTE: </t>
  </si>
  <si>
    <t>÷</t>
  </si>
  <si>
    <t>District's Total UFTE:</t>
  </si>
  <si>
    <t>=</t>
  </si>
  <si>
    <t>3B. Divide school's Weighted FTE (WFTE) total computed in Section 1, cell E37 above by the district's total WFTE to obtain school's</t>
  </si>
  <si>
    <t xml:space="preserve"> WFTE share.          Charter School WFTE: </t>
  </si>
  <si>
    <t>District's Total WFTE:</t>
  </si>
  <si>
    <t>4.   Supplemental Academic Instruction (UFTE share)</t>
  </si>
  <si>
    <t>(b)</t>
  </si>
  <si>
    <t>x</t>
  </si>
  <si>
    <t>5.   Discretionary Millage Compression Allocation</t>
  </si>
  <si>
    <t>.748 Mills (UFTE share)</t>
  </si>
  <si>
    <t>6.   Digital Classrooms Allocation (UFTE share)</t>
  </si>
  <si>
    <t>(b)(d)</t>
  </si>
  <si>
    <t>7.   Safe Schools Allocation (UFTE share)</t>
  </si>
  <si>
    <t>8.   Instructional Materials Allocation (UFTE share)</t>
  </si>
  <si>
    <t>Dual Enrollment Instructional Materials Allocation</t>
  </si>
  <si>
    <t>(e)</t>
  </si>
  <si>
    <t xml:space="preserve">ESE Applications Allocation: </t>
  </si>
  <si>
    <t>Charter schools should contact their school district sponsor regarding eligibility and distribution of ESE Applications funds.</t>
  </si>
  <si>
    <t>9.  Mental Health Assistance Allocation (UFTE share)</t>
  </si>
  <si>
    <t>10.  Total Funds Compression Allocation (UFTE share)</t>
  </si>
  <si>
    <t>11.   Declining Enrollment (WFTE share)</t>
  </si>
  <si>
    <t>(c)</t>
  </si>
  <si>
    <t>12.  Sparsity Supplement (WFTE share)</t>
  </si>
  <si>
    <t>13.  Reading Allocation (WFTE share)</t>
  </si>
  <si>
    <t>14. Teacher Salary Increase</t>
  </si>
  <si>
    <t>(f)</t>
  </si>
  <si>
    <t>15.  Discretionary Local Effort (WFTE share)</t>
  </si>
  <si>
    <t>16.  Proration to Funds Available (WFTE share)</t>
  </si>
  <si>
    <t>17.  Discretionary Lottery (WFTE share)</t>
  </si>
  <si>
    <t>18.  Class Size Reduction Funds:</t>
  </si>
  <si>
    <t>Weighted FTE (not including Add-On)</t>
  </si>
  <si>
    <r>
      <rPr>
        <b/>
        <sz val="12"/>
        <color indexed="8"/>
        <rFont val="Times New Roman"/>
        <family val="1"/>
      </rPr>
      <t xml:space="preserve">X          </t>
    </r>
    <r>
      <rPr>
        <b/>
        <u/>
        <sz val="12"/>
        <color indexed="8"/>
        <rFont val="Times New Roman"/>
        <family val="1"/>
      </rPr>
      <t>DCD</t>
    </r>
    <r>
      <rPr>
        <b/>
        <sz val="12"/>
        <color indexed="8"/>
        <rFont val="Times New Roman"/>
        <family val="1"/>
      </rPr>
      <t xml:space="preserve">         X</t>
    </r>
  </si>
  <si>
    <t>Allocation factors</t>
  </si>
  <si>
    <t>PK - 3</t>
  </si>
  <si>
    <r>
      <t xml:space="preserve">Total </t>
    </r>
    <r>
      <rPr>
        <b/>
        <sz val="12"/>
        <color indexed="30"/>
        <rFont val="Times New Roman"/>
        <family val="1"/>
      </rPr>
      <t>*</t>
    </r>
  </si>
  <si>
    <t>Total Class Size Reduction Funds</t>
  </si>
  <si>
    <t>(*Total FTE should equal total in Section 1, column (4) and should not include any additional FTE from Section 1.)</t>
  </si>
  <si>
    <t>19.  Student Transportation</t>
  </si>
  <si>
    <t>(g)</t>
  </si>
  <si>
    <t>Enter All Adjusted Fundable Riders</t>
  </si>
  <si>
    <t xml:space="preserve"> x</t>
  </si>
  <si>
    <t>Enter All Adjusted ESE Riders</t>
  </si>
  <si>
    <t>20.  Federally Connected Student Supplement</t>
  </si>
  <si>
    <t>(h)</t>
  </si>
  <si>
    <t>Impact Aid Student Type</t>
  </si>
  <si>
    <t>Number of Students</t>
  </si>
  <si>
    <t>Exempt Property Allocation</t>
  </si>
  <si>
    <t>Impact Aid Student Allocation</t>
  </si>
  <si>
    <t>Total</t>
  </si>
  <si>
    <t>Military and Indian Lands</t>
  </si>
  <si>
    <t>Civilians on Federal Lands</t>
  </si>
  <si>
    <t>Students with Disabilities</t>
  </si>
  <si>
    <t>21.  Florida Teachers Classroom Supply Assistance Program</t>
  </si>
  <si>
    <t>(i)</t>
  </si>
  <si>
    <t>22.  Food Service Allocation</t>
  </si>
  <si>
    <t>(j)</t>
  </si>
  <si>
    <t>23.  Funding for the purpose of calculating the administrative fee for ESE charter schools.</t>
  </si>
  <si>
    <t>(k)</t>
  </si>
  <si>
    <t>If you have more than a 75% ESE student population, please place a 1 in the following box:</t>
  </si>
  <si>
    <t>NOTES:</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</si>
  <si>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</si>
  <si>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(b) District allocations multiplied by percentage from item 3A.</t>
  </si>
  <si>
    <t>(c) District allocations multiplied by percentage from item 3B.</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</si>
  <si>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</si>
  <si>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</si>
  <si>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 xml:space="preserve">(f) The Best and Brightest Teacher and Principal Allocation is provided pursuant to s. 1011.62(18), F.S., to recruit, retain and recognize classroom teachers, instructional personnel and school principals. Award requirements are established in s. 1012.731, F.S., and s. 1012.732, F.S. Charter schools should contact their sponsoring school district to determine the school's eligibility of receiving funds. </t>
  </si>
  <si>
    <t>(g)  Numbers entered here will be multiplied by the district level transportation funding per rider. "All Adjusted Fundable Riders" should include both basic and ESE Riders. "All Adjusted ESE Riders" should include only ESE Riders.</t>
  </si>
  <si>
    <t xml:space="preserve">(h) The Federally Connected Student Supplement provides additional funding for students on federal lands that receive Section 8003 impact aide pursuant to s. 1011.62(13), F.S. </t>
  </si>
  <si>
    <t>(i)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</si>
  <si>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(j) Funding based on student eligibility and meals provided, if participating in the National School Lunch Program. </t>
  </si>
  <si>
    <t xml:space="preserve">(k) Consistent with s. 1002.33(20)(a), F.S., for charter schools with a population of 75% or more ESE students, the administrative fee shall be calculated based on unweighted full-time equivalent students. </t>
  </si>
  <si>
    <t>Administrative fees: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</si>
  <si>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For charter schools within a charter school system that meets the requirements in s. 1002.33(20)(a)2.a.(II), F.S., do the same calculation based for up to and including 500 students.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</si>
  <si>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</si>
  <si>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Other:</t>
  </si>
  <si>
    <t>FEFP and categorical funding are recalculated during the year to reflect the revised number of full-time equivalent students reported during the survey periods designated by the Commissioner of Education.</t>
  </si>
  <si>
    <t>Revenues flow to districts from state sources and from county tax collectors on various distribution schedules.</t>
  </si>
  <si>
    <t>Based on the 2020-21 FEFP Conference Calculation</t>
  </si>
  <si>
    <t>3396000 · Other FTE</t>
  </si>
  <si>
    <t>Annual</t>
  </si>
  <si>
    <t>Pay Increase</t>
  </si>
  <si>
    <t>19/20</t>
  </si>
  <si>
    <t>20/21</t>
  </si>
  <si>
    <t>Employee Name</t>
  </si>
  <si>
    <t>Gross Amt</t>
  </si>
  <si>
    <t>1 Employee</t>
  </si>
  <si>
    <t xml:space="preserve">Brooks, Erika </t>
  </si>
  <si>
    <t xml:space="preserve">Chilton, Natasha </t>
  </si>
  <si>
    <t>Fuchs, Jordan</t>
  </si>
  <si>
    <t>Phillips, Tara</t>
  </si>
  <si>
    <t>Stainton, Michelle</t>
  </si>
  <si>
    <t>Thibou, Jessica</t>
  </si>
  <si>
    <t>Jenkins, Heather</t>
  </si>
  <si>
    <t>5100250 · Unemployment Compensation</t>
  </si>
  <si>
    <t>5100240 · Workers Compensation</t>
  </si>
  <si>
    <t>7300240 · Workers Compensation</t>
  </si>
  <si>
    <t>7300250 · Unemployment Compensation</t>
  </si>
  <si>
    <t>Gibbs, Whitney</t>
  </si>
  <si>
    <t>Skafa, Jaclyn</t>
  </si>
  <si>
    <t>Myers, Valeria</t>
  </si>
  <si>
    <t>Sommers, Cimone</t>
  </si>
  <si>
    <t>Tolbert, Demetrious</t>
  </si>
  <si>
    <t>Lyons, Cavion</t>
  </si>
  <si>
    <t>Tolbert, Cyniijia</t>
  </si>
  <si>
    <t>14 Employees</t>
  </si>
  <si>
    <t>15 Employees</t>
  </si>
  <si>
    <t>7300360 · Machinery and Equipment rental</t>
  </si>
  <si>
    <t>5100230 · Group Insurance</t>
  </si>
  <si>
    <t>Ansley, Lisa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</si>
</sst>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164" formatCode="#,##0.00;\-#,##0.00"/>
    <numFmt numFmtId="165" formatCode="0.0000"/>
    <numFmt numFmtId="166" formatCode="0.000"/>
    <numFmt numFmtId="167" formatCode="_-&quot;$&quot;* #,##0.00_-;\-&quot;$&quot;* #,##0.00_-;_-&quot;$&quot;* &quot;-&quot;??_-;_-@_-"/>
    <numFmt numFmtId="168" formatCode="#,##0.0000"/>
    <numFmt numFmtId="169" formatCode="_-&quot;$&quot;* #,##0_-;\-&quot;$&quot;* #,##0_-;_-&quot;$&quot;* &quot;-&quot;??_-;_-@_-"/>
    <numFmt numFmtId="170" formatCode="0.0000%"/>
    <numFmt numFmtId="171" formatCode="_-* #,##0.00_-;\-* #,##0.00_-;_-* &quot;-&quot;??_-;_-@_-"/>
    <numFmt numFmtId="172" formatCode="0."/>
  </numFmts>
  <fonts count="26"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ont>
    <font>
      <b/>
      <sz val="12"/>
      <color rgb="FFFF0000"/>
      <name val="Times New Roman"/>
      <family val="1"/>
    </font>
    <font>
      <b/>
      <sz val="12"/>
      <color rgb="FF0000FF"/>
      <name val="Times New Roman"/>
      <family val="1"/>
    </font>
    <font>
      <b/>
      <sz val="12"/>
      <color rgb="FF000000"/>
      <name val="Times New Roman"/>
      <family val="1"/>
    </font>
    <font>
      <b/>
      <sz val="16"/>
      <color rgb="FF000000"/>
      <name val="Times New Roman"/>
      <family val="1"/>
    </font>
    <font>
      <b/>
      <sz val="14"/>
      <color rgb="FF000000"/>
      <name val="Times New Roman"/>
      <family val="1"/>
    </font>
    <font>
      <sz val="12"/>
      <color rgb="FF000000"/>
      <name val="Times New Roman"/>
      <family val="1"/>
    </font>
    <font>
      <b/>
      <i/>
      <sz val="12"/>
      <color indexed="8"/>
      <name val="Times New Roman"/>
      <family val="1"/>
    </font>
    <font>
      <b/>
      <sz val="12"/>
      <color indexed="8"/>
      <name val="Times New Roman"/>
      <family val="1"/>
    </font>
    <font>
      <b/>
      <sz val="12"/>
      <color rgb="FF00B050"/>
      <name val="Times New Roman"/>
      <family val="1"/>
    </font>
    <font>
      <i/>
      <sz val="9"/>
      <color indexed="10"/>
      <name val="Times New Roman"/>
      <family val="1"/>
    </font>
    <font>
      <b/>
      <sz val="12"/>
      <color rgb="FF000000"/>
      <name val="Calibri"/>
      <family val="2"/>
    </font>
    <font>
      <b/>
      <u/>
      <sz val="12"/>
      <color rgb="FF000000"/>
      <name val="Times New Roman"/>
      <family val="1"/>
    </font>
    <font>
      <b/>
      <u/>
      <sz val="12"/>
      <color indexed="8"/>
      <name val="Times New Roman"/>
      <family val="1"/>
    </font>
    <font>
      <b/>
      <sz val="12"/>
      <color indexed="30"/>
      <name val="Times New Roman"/>
      <family val="1"/>
    </font>
    <font>
      <i/>
      <sz val="12"/>
      <color rgb="FF000000"/>
      <name val="Times New Roman"/>
      <family val="1"/>
    </font>
    <font>
      <b/>
      <sz val="10"/>
      <color rgb="FF000000"/>
      <name val="Times New Roman"/>
      <family val="1"/>
    </font>
    <font>
      <sz val="10"/>
      <color rgb="FF000000"/>
      <name val="Arial"/>
      <family val="2"/>
    </font>
    <font>
      <b/>
      <u/>
      <sz val="10"/>
      <color rgb="FF000000"/>
      <name val="Times New Roman"/>
      <family val="1"/>
    </font>
    <font>
      <b/>
      <i/>
      <sz val="10"/>
      <color rgb="FF000000"/>
      <name val="Times New Roman"/>
      <family val="1"/>
    </font>
    <font>
      <b/>
      <sz val="9"/>
      <color indexed="81"/>
      <name val="Tahoma"/>
      <family val="2"/>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rgb="FFBFBFBF"/>
        <bgColor indexed="64"/>
      </patternFill>
    </fill>
    <fill>
      <patternFill patternType="solid">
        <fgColor rgb="FF000000"/>
        <bgColor indexed="64"/>
      </patternFill>
    </fill>
  </fills>
  <borders count="14">
    <border>
      <left/>
      <right/>
      <top/>
      <bottom/>
      <diagonal/>
    </border>
    <border>
      <left/>
      <right/>
      <top/>
      <bottom style="thin">
        <color auto="1"/>
      </bottom>
      <diagonal/>
    </border>
    <border>
      <left/>
      <right/>
      <top/>
      <bottom style="thick">
        <color auto="1"/>
      </bottom>
      <diagonal/>
    </border>
    <border>
      <left/>
      <right/>
      <top/>
      <bottom style="medium">
        <color auto="1"/>
      </bottom>
      <diagonal/>
    </border>
    <border>
      <left/>
      <right/>
      <top style="medium">
        <color auto="1"/>
      </top>
      <bottom style="thin">
        <color auto="1"/>
      </bottom>
      <diagonal/>
    </border>
    <border>
      <left/>
      <right/>
      <top style="medium">
        <color auto="1"/>
      </top>
      <bottom style="medium">
        <color auto="1"/>
      </bottom>
      <diagonal/>
    </border>
    <border>
      <left/>
      <right/>
      <top style="medium">
        <color auto="1"/>
      </top>
      <bottom/>
      <diagonal/>
    </border>
    <border>
      <left/>
      <right/>
      <top style="medium">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right/>
      <top style="thin">
        <color auto="1"/>
      </top>
      <bottom/>
      <diagonal/>
    </border>
    <border>
      <left/>
      <right/>
      <top style="thin">
        <color auto="1"/>
      </top>
      <bottom style="thin">
        <color auto="1"/>
      </bottom>
      <diagonal/>
    </border>
    <border>
      <left/>
      <right/>
      <top style="thin">
        <color auto="1"/>
      </top>
      <bottom style="medium">
        <color auto="1"/>
      </bottom>
      <diagonal/>
    </border>
    <border>
      <left/>
      <right/>
      <top/>
      <bottom style="double">
        <color auto="1"/>
      </bottom>
      <diagonal/>
    </border>
  </borders>
  <cellStyleXfs count="2">
    <xf numFmtId="0" fontId="0" fillId="0" borderId="0"/>
    <xf numFmtId="0" fontId="4" fillId="0" borderId="0"/>
  </cellStyleXfs>
  <cellXfs count="156">
    <xf numFmtId="0" fontId="0" fillId="0" borderId="0" xfId="0"/>
    <xf numFmtId="49" fontId="2" fillId="0" borderId="0" xfId="0" applyNumberFormat="1" applyFont="1"/>
    <xf numFmtId="164" fontId="3" fillId="0" borderId="0" xfId="0" applyNumberFormat="1" applyFont="1"/>
    <xf numFmtId="49" fontId="2" fillId="0" borderId="0" xfId="0" applyNumberFormat="1" applyFont="1" applyAlignment="1">
      <alignment horizontal="center"/>
    </xf>
    <xf numFmtId="49" fontId="2" fillId="0" borderId="2" xfId="0" applyNumberFormat="1" applyFont="1" applyBorder="1" applyAlignment="1">
      <alignment horizontal="center"/>
    </xf>
    <xf numFmtId="0" fontId="0" fillId="0" borderId="0" xfId="0" applyAlignment="1">
      <alignment horizontal="center"/>
    </xf>
    <xf numFmtId="0" fontId="2" fillId="0" borderId="0" xfId="0" applyNumberFormat="1" applyFont="1"/>
    <xf numFmtId="0" fontId="0" fillId="0" borderId="0" xfId="0" applyNumberFormat="1"/>
    <xf numFmtId="0" fontId="5" fillId="0" borderId="8" xfId="0" applyFont="1" applyBorder="1"/>
    <xf numFmtId="0" fontId="7" fillId="0" borderId="0" xfId="0" applyFont="1"/>
    <xf numFmtId="0" fontId="8" fillId="0" borderId="0" xfId="0" applyFont="1"/>
    <xf numFmtId="0" fontId="9" fillId="0" borderId="0" xfId="0" applyFont="1"/>
    <xf numFmtId="4" fontId="6" fillId="0" borderId="0" xfId="0" applyNumberFormat="1" applyFont="1"/>
    <xf numFmtId="4" fontId="7" fillId="0" borderId="0" xfId="0" applyNumberFormat="1" applyFont="1"/>
    <xf numFmtId="0" fontId="10" fillId="0" borderId="0" xfId="0" applyFont="1" applyAlignment="1">
      <alignment horizontal="center"/>
    </xf>
    <xf numFmtId="7" fontId="0" fillId="0" borderId="0" xfId="0" applyNumberFormat="1" applyAlignment="1">
      <alignment horizontal="center"/>
    </xf>
    <xf numFmtId="166" fontId="7" fillId="0" borderId="0" xfId="0" applyNumberFormat="1" applyFont="1" applyAlignment="1">
      <alignment wrapText="1"/>
    </xf>
    <xf numFmtId="4" fontId="7" fillId="0" borderId="0" xfId="0" applyNumberFormat="1" applyFont="1" applyAlignment="1">
      <alignment horizontal="center" wrapText="1"/>
    </xf>
    <xf numFmtId="167" fontId="7" fillId="0" borderId="0" xfId="0" applyNumberFormat="1" applyFont="1" applyAlignment="1">
      <alignment horizontal="center" wrapText="1"/>
    </xf>
    <xf numFmtId="4" fontId="7" fillId="0" borderId="1" xfId="0" applyNumberFormat="1" applyFont="1" applyBorder="1" applyAlignment="1">
      <alignment horizontal="center" wrapText="1"/>
    </xf>
    <xf numFmtId="167" fontId="7" fillId="0" borderId="1" xfId="0" applyNumberFormat="1" applyFont="1" applyBorder="1" applyAlignment="1">
      <alignment horizontal="center" wrapText="1"/>
    </xf>
    <xf numFmtId="4" fontId="7" fillId="0" borderId="1" xfId="0" applyNumberFormat="1" applyFont="1" applyBorder="1" applyAlignment="1">
      <alignment horizontal="center"/>
    </xf>
    <xf numFmtId="167" fontId="7" fillId="0" borderId="1" xfId="0" applyNumberFormat="1" applyFont="1" applyBorder="1" applyAlignment="1">
      <alignment horizontal="center"/>
    </xf>
    <xf numFmtId="168" fontId="7" fillId="0" borderId="1" xfId="0" applyNumberFormat="1" applyFont="1" applyBorder="1"/>
    <xf numFmtId="169" fontId="7" fillId="0" borderId="1" xfId="0" applyNumberFormat="1" applyFont="1" applyBorder="1"/>
    <xf numFmtId="169" fontId="7" fillId="0" borderId="11" xfId="0" applyNumberFormat="1" applyFont="1" applyBorder="1"/>
    <xf numFmtId="165" fontId="7" fillId="0" borderId="11" xfId="0" applyNumberFormat="1" applyFont="1" applyBorder="1"/>
    <xf numFmtId="169" fontId="7" fillId="0" borderId="0" xfId="0" applyNumberFormat="1" applyFont="1" applyAlignment="1">
      <alignment horizontal="center"/>
    </xf>
    <xf numFmtId="165" fontId="7" fillId="0" borderId="0" xfId="0" applyNumberFormat="1" applyFont="1" applyAlignment="1">
      <alignment horizontal="right"/>
    </xf>
    <xf numFmtId="169" fontId="7" fillId="0" borderId="0" xfId="0" applyNumberFormat="1" applyFont="1"/>
    <xf numFmtId="165" fontId="13" fillId="0" borderId="0" xfId="0" applyNumberFormat="1" applyFont="1" applyAlignment="1">
      <alignment horizontal="right"/>
    </xf>
    <xf numFmtId="169" fontId="7" fillId="2" borderId="8" xfId="0" applyNumberFormat="1" applyFont="1" applyFill="1" applyBorder="1"/>
    <xf numFmtId="0" fontId="7" fillId="0" borderId="1" xfId="0" applyFont="1" applyBorder="1"/>
    <xf numFmtId="0" fontId="7" fillId="0" borderId="1" xfId="0" applyFont="1" applyBorder="1" applyAlignment="1">
      <alignment horizontal="center" wrapText="1"/>
    </xf>
    <xf numFmtId="0" fontId="7" fillId="0" borderId="0" xfId="0" applyFont="1" applyAlignment="1">
      <alignment horizontal="center"/>
    </xf>
    <xf numFmtId="169" fontId="7" fillId="0" borderId="10" xfId="0" applyNumberFormat="1" applyFont="1" applyBorder="1"/>
    <xf numFmtId="4" fontId="13" fillId="0" borderId="1" xfId="0" applyNumberFormat="1" applyFont="1" applyBorder="1" applyAlignment="1">
      <alignment horizontal="center"/>
    </xf>
    <xf numFmtId="0" fontId="15" fillId="0" borderId="0" xfId="0" applyFont="1" applyAlignment="1">
      <alignment horizontal="center"/>
    </xf>
    <xf numFmtId="166" fontId="7" fillId="0" borderId="0" xfId="0" applyNumberFormat="1" applyFont="1"/>
    <xf numFmtId="166" fontId="7" fillId="0" borderId="0" xfId="0" applyNumberFormat="1" applyFont="1" applyAlignment="1">
      <alignment horizontal="right"/>
    </xf>
    <xf numFmtId="0" fontId="7" fillId="0" borderId="0" xfId="0" applyFont="1" applyAlignment="1">
      <alignment horizontal="left" indent="2"/>
    </xf>
    <xf numFmtId="0" fontId="7" fillId="0" borderId="0" xfId="0" applyFont="1" applyAlignment="1">
      <alignment horizontal="left" indent="3"/>
    </xf>
    <xf numFmtId="0" fontId="7" fillId="0" borderId="1" xfId="0" applyFont="1" applyBorder="1" applyAlignment="1">
      <alignment horizontal="left" indent="2"/>
    </xf>
    <xf numFmtId="0" fontId="10" fillId="0" borderId="1" xfId="0" applyFont="1" applyBorder="1" applyAlignment="1">
      <alignment horizontal="center"/>
    </xf>
    <xf numFmtId="4" fontId="7" fillId="0" borderId="0" xfId="0" applyNumberFormat="1" applyFont="1" applyAlignment="1">
      <alignment horizontal="center"/>
    </xf>
    <xf numFmtId="38" fontId="7" fillId="0" borderId="1" xfId="0" applyNumberFormat="1" applyFont="1" applyBorder="1"/>
    <xf numFmtId="170" fontId="7" fillId="0" borderId="0" xfId="0" applyNumberFormat="1" applyFont="1"/>
    <xf numFmtId="38" fontId="7" fillId="0" borderId="0" xfId="0" applyNumberFormat="1" applyFont="1"/>
    <xf numFmtId="3" fontId="7" fillId="0" borderId="1" xfId="0" applyNumberFormat="1" applyFont="1" applyBorder="1"/>
    <xf numFmtId="169" fontId="7" fillId="3" borderId="1" xfId="0" applyNumberFormat="1" applyFont="1" applyFill="1" applyBorder="1"/>
    <xf numFmtId="0" fontId="10" fillId="0" borderId="0" xfId="0" applyFont="1" applyAlignment="1">
      <alignment horizontal="left" indent="4"/>
    </xf>
    <xf numFmtId="0" fontId="7" fillId="0" borderId="0" xfId="0" applyFont="1" applyAlignment="1">
      <alignment horizontal="left"/>
    </xf>
    <xf numFmtId="3" fontId="7" fillId="0" borderId="0" xfId="0" applyNumberFormat="1" applyFont="1"/>
    <xf numFmtId="169" fontId="7" fillId="2" borderId="1" xfId="0" applyNumberFormat="1" applyFont="1" applyFill="1" applyBorder="1"/>
    <xf numFmtId="0" fontId="7" fillId="0" borderId="0" xfId="0" applyFont="1" applyAlignment="1">
      <alignment horizontal="right"/>
    </xf>
    <xf numFmtId="165" fontId="7" fillId="0" borderId="0" xfId="0" applyNumberFormat="1" applyFont="1" applyAlignment="1">
      <alignment horizontal="center"/>
    </xf>
    <xf numFmtId="165" fontId="7" fillId="0" borderId="0" xfId="0" applyNumberFormat="1" applyFont="1"/>
    <xf numFmtId="16" fontId="7" fillId="0" borderId="0" xfId="0" applyNumberFormat="1" applyFont="1" applyAlignment="1">
      <alignment horizontal="right"/>
    </xf>
    <xf numFmtId="165" fontId="7" fillId="0" borderId="3" xfId="0" applyNumberFormat="1" applyFont="1" applyBorder="1" applyAlignment="1">
      <alignment horizontal="center"/>
    </xf>
    <xf numFmtId="171" fontId="7" fillId="0" borderId="0" xfId="0" applyNumberFormat="1" applyFont="1" applyAlignment="1">
      <alignment horizontal="right"/>
    </xf>
    <xf numFmtId="165" fontId="7" fillId="0" borderId="8" xfId="0" applyNumberFormat="1" applyFont="1" applyBorder="1" applyAlignment="1">
      <alignment horizontal="center"/>
    </xf>
    <xf numFmtId="4" fontId="7" fillId="0" borderId="0" xfId="0" applyNumberFormat="1" applyFont="1" applyAlignment="1">
      <alignment horizontal="left" indent="2"/>
    </xf>
    <xf numFmtId="0" fontId="7" fillId="0" borderId="1" xfId="0" applyFont="1" applyBorder="1" applyAlignment="1">
      <alignment horizontal="center"/>
    </xf>
    <xf numFmtId="7" fontId="7" fillId="0" borderId="0" xfId="0" applyNumberFormat="1" applyFont="1"/>
    <xf numFmtId="7" fontId="7" fillId="0" borderId="1" xfId="0" applyNumberFormat="1" applyFont="1" applyBorder="1"/>
    <xf numFmtId="0" fontId="5" fillId="0" borderId="0" xfId="0" applyFont="1"/>
    <xf numFmtId="169" fontId="7" fillId="0" borderId="8" xfId="0" applyNumberFormat="1" applyFont="1" applyBorder="1"/>
    <xf numFmtId="3" fontId="7" fillId="0" borderId="0" xfId="0" applyNumberFormat="1" applyFont="1" applyAlignment="1">
      <alignment horizontal="center"/>
    </xf>
    <xf numFmtId="169" fontId="7" fillId="0" borderId="13" xfId="0" applyNumberFormat="1" applyFont="1" applyBorder="1"/>
    <xf numFmtId="0" fontId="5" fillId="3" borderId="1" xfId="0" applyFont="1" applyFill="1" applyBorder="1"/>
    <xf numFmtId="0" fontId="20" fillId="0" borderId="0" xfId="0" applyFont="1"/>
    <xf numFmtId="0" fontId="21" fillId="0" borderId="0" xfId="0" applyFont="1"/>
    <xf numFmtId="172" fontId="7" fillId="0" borderId="0" xfId="0" applyNumberFormat="1" applyFont="1" applyAlignment="1">
      <alignment horizontal="left"/>
    </xf>
    <xf numFmtId="4" fontId="0" fillId="0" borderId="0" xfId="0" applyNumberFormat="1"/>
    <xf numFmtId="4" fontId="1" fillId="0" borderId="0" xfId="0" applyNumberFormat="1" applyFont="1"/>
    <xf numFmtId="0" fontId="1" fillId="0" borderId="0" xfId="0" applyFont="1"/>
    <xf numFmtId="10" fontId="0" fillId="0" borderId="0" xfId="0" applyNumberFormat="1"/>
    <xf numFmtId="49" fontId="2" fillId="0" borderId="0" xfId="0" applyNumberFormat="1" applyFont="1" applyFill="1"/>
    <xf numFmtId="164" fontId="3" fillId="0" borderId="0" xfId="0" applyNumberFormat="1" applyFont="1" applyFill="1"/>
    <xf numFmtId="0" fontId="0" fillId="0" borderId="0" xfId="0" applyFill="1"/>
    <xf numFmtId="164" fontId="3" fillId="0" borderId="0" xfId="0" applyNumberFormat="1" applyFont="1" applyFill="1" applyBorder="1"/>
    <xf numFmtId="164" fontId="3" fillId="0" borderId="3" xfId="0" applyNumberFormat="1" applyFont="1" applyFill="1" applyBorder="1"/>
    <xf numFmtId="164" fontId="3" fillId="0" borderId="5" xfId="0" applyNumberFormat="1" applyFont="1" applyFill="1" applyBorder="1"/>
    <xf numFmtId="164" fontId="3" fillId="0" borderId="6" xfId="0" applyNumberFormat="1" applyFont="1" applyFill="1" applyBorder="1"/>
    <xf numFmtId="164" fontId="2" fillId="0" borderId="7" xfId="0" applyNumberFormat="1" applyFont="1" applyFill="1" applyBorder="1"/>
    <xf numFmtId="0" fontId="2" fillId="0" borderId="0" xfId="0" applyFont="1" applyFill="1"/>
    <xf numFmtId="0" fontId="2" fillId="0" borderId="0" xfId="0" applyNumberFormat="1" applyFont="1" applyFill="1"/>
    <xf numFmtId="0" fontId="0" fillId="0" borderId="0" xfId="0" applyNumberFormat="1" applyFill="1"/>
    <xf numFmtId="0" fontId="10" fillId="0" borderId="0" xfId="0" applyFont="1" applyAlignment="1">
      <alignment horizontal="center"/>
    </xf>
    <xf numFmtId="7" fontId="10" fillId="0" borderId="0" xfId="0" applyNumberFormat="1" applyFont="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6" fontId="7" fillId="0" borderId="0" xfId="0" applyNumberFormat="1" applyFont="1" applyAlignment="1">
      <alignment horizontal="center" wrapText="1"/>
    </xf>
    <xf numFmtId="0" fontId="7" fillId="0" borderId="1" xfId="0" applyFont="1" applyBorder="1" applyAlignment="1">
      <alignment horizontal="left" wrapText="1"/>
    </xf>
    <xf numFmtId="0" fontId="5" fillId="0" borderId="1" xfId="0" applyFont="1" applyBorder="1" applyAlignment="1">
      <alignment horizontal="center" wrapText="1"/>
    </xf>
    <xf numFmtId="166" fontId="7" fillId="0" borderId="1" xfId="0" applyNumberFormat="1" applyFont="1" applyBorder="1" applyAlignment="1">
      <alignment horizontal="center" wrapText="1"/>
    </xf>
    <xf numFmtId="0" fontId="6" fillId="0" borderId="9" xfId="0" applyFont="1" applyBorder="1" applyAlignment="1">
      <alignment horizontal="left"/>
    </xf>
    <xf numFmtId="0" fontId="6" fillId="0" borderId="0" xfId="0" applyFont="1" applyAlignment="1">
      <alignment horizontal="left"/>
    </xf>
    <xf numFmtId="0" fontId="8" fillId="0" borderId="0" xfId="0" applyFont="1" applyAlignment="1">
      <alignment horizontal="center"/>
    </xf>
    <xf numFmtId="0" fontId="7" fillId="0" borderId="0" xfId="0" applyFont="1" applyAlignment="1">
      <alignment horizontal="center"/>
    </xf>
    <xf numFmtId="4" fontId="7" fillId="0" borderId="0" xfId="0" applyNumberFormat="1" applyFont="1" applyAlignment="1">
      <alignment horizontal="left" indent="2"/>
    </xf>
    <xf numFmtId="4" fontId="6" fillId="0" borderId="0" xfId="0" applyNumberFormat="1" applyFont="1" applyAlignment="1">
      <alignment horizontal="left"/>
    </xf>
    <xf numFmtId="4" fontId="7" fillId="0" borderId="0" xfId="0" applyNumberFormat="1" applyFont="1" applyAlignment="1">
      <alignment horizontal="left"/>
    </xf>
    <xf numFmtId="0" fontId="7" fillId="0" borderId="0" xfId="0" applyFont="1" applyAlignment="1">
      <alignment horizontal="left" indent="3"/>
    </xf>
    <xf numFmtId="2" fontId="5" fillId="3" borderId="11" xfId="0" applyNumberFormat="1" applyFont="1" applyFill="1" applyBorder="1" applyAlignment="1">
      <alignment horizontal="center"/>
    </xf>
    <xf numFmtId="166" fontId="7" fillId="0" borderId="10" xfId="0" applyNumberFormat="1" applyFont="1" applyBorder="1" applyAlignment="1">
      <alignment horizontal="center"/>
    </xf>
    <xf numFmtId="166" fontId="7" fillId="0" borderId="0" xfId="0" applyNumberFormat="1" applyFont="1" applyAlignment="1">
      <alignment horizontal="center"/>
    </xf>
    <xf numFmtId="0" fontId="7" fillId="0" borderId="1" xfId="0" applyFont="1" applyBorder="1" applyAlignment="1">
      <alignment horizontal="center"/>
    </xf>
    <xf numFmtId="0" fontId="5" fillId="0" borderId="1" xfId="0" applyFont="1" applyBorder="1" applyAlignment="1">
      <alignment horizontal="center"/>
    </xf>
    <xf numFmtId="166" fontId="7" fillId="0" borderId="1" xfId="0" applyNumberFormat="1" applyFont="1" applyBorder="1" applyAlignment="1">
      <alignment horizontal="center"/>
    </xf>
    <xf numFmtId="0" fontId="7" fillId="0" borderId="10" xfId="0" applyFont="1" applyBorder="1" applyAlignment="1">
      <alignment horizontal="left" indent="3"/>
    </xf>
    <xf numFmtId="2" fontId="5" fillId="0" borderId="1" xfId="0" applyNumberFormat="1" applyFont="1" applyBorder="1" applyAlignment="1">
      <alignment horizontal="center" wrapText="1"/>
    </xf>
    <xf numFmtId="2" fontId="5" fillId="0" borderId="1" xfId="0" applyNumberFormat="1" applyFont="1" applyBorder="1" applyAlignment="1">
      <alignment horizontal="center"/>
    </xf>
    <xf numFmtId="4" fontId="5" fillId="3" borderId="11" xfId="0" applyNumberFormat="1" applyFont="1" applyFill="1" applyBorder="1" applyAlignment="1">
      <alignment horizontal="center"/>
    </xf>
    <xf numFmtId="0" fontId="7" fillId="0" borderId="1" xfId="0" applyFont="1" applyBorder="1" applyAlignment="1">
      <alignment horizontal="left" indent="3"/>
    </xf>
    <xf numFmtId="0" fontId="7" fillId="0" borderId="10" xfId="0" applyFont="1" applyBorder="1" applyAlignment="1">
      <alignment horizontal="right"/>
    </xf>
    <xf numFmtId="2" fontId="13" fillId="0" borderId="1" xfId="0" applyNumberFormat="1" applyFont="1" applyBorder="1" applyAlignment="1">
      <alignment horizontal="center"/>
    </xf>
    <xf numFmtId="2" fontId="7" fillId="0" borderId="0" xfId="0" applyNumberFormat="1" applyFont="1" applyAlignment="1">
      <alignment horizontal="center"/>
    </xf>
    <xf numFmtId="0" fontId="7" fillId="0" borderId="0" xfId="0" applyFont="1" applyAlignment="1">
      <alignment horizontal="right"/>
    </xf>
    <xf numFmtId="0" fontId="7" fillId="0" borderId="0" xfId="0" applyFont="1" applyAlignment="1">
      <alignment horizontal="left" wrapText="1" indent="3"/>
    </xf>
    <xf numFmtId="4" fontId="5" fillId="3" borderId="11" xfId="0" applyNumberFormat="1" applyFont="1" applyFill="1" applyBorder="1" applyAlignment="1">
      <alignment horizontal="center" wrapText="1"/>
    </xf>
    <xf numFmtId="0" fontId="7" fillId="0" borderId="1" xfId="0" applyFont="1" applyBorder="1" applyAlignment="1">
      <alignment horizontal="left"/>
    </xf>
    <xf numFmtId="0" fontId="10" fillId="0" borderId="10" xfId="0" applyFont="1" applyBorder="1" applyAlignment="1">
      <alignment horizontal="left" vertical="center" wrapText="1" indent="3"/>
    </xf>
    <xf numFmtId="0" fontId="10" fillId="0" borderId="0" xfId="0" applyFont="1" applyAlignment="1">
      <alignment horizontal="left" vertical="center" wrapText="1" indent="3"/>
    </xf>
    <xf numFmtId="4" fontId="5" fillId="3" borderId="1" xfId="0" applyNumberFormat="1" applyFont="1" applyFill="1" applyBorder="1" applyAlignment="1">
      <alignment horizontal="center" vertical="center" wrapText="1"/>
    </xf>
    <xf numFmtId="4" fontId="5" fillId="3" borderId="11" xfId="0" applyNumberFormat="1" applyFont="1" applyFill="1" applyBorder="1" applyAlignment="1">
      <alignment horizontal="center" vertical="center" wrapText="1"/>
    </xf>
    <xf numFmtId="0" fontId="7" fillId="0" borderId="0" xfId="0" applyFont="1" applyAlignment="1">
      <alignment horizontal="left" indent="2"/>
    </xf>
    <xf numFmtId="4" fontId="16" fillId="0" borderId="0" xfId="0" applyNumberFormat="1" applyFont="1" applyAlignment="1">
      <alignment horizontal="left" indent="1"/>
    </xf>
    <xf numFmtId="170" fontId="13" fillId="0" borderId="0" xfId="0" applyNumberFormat="1" applyFont="1" applyAlignment="1">
      <alignment horizontal="left" indent="2"/>
    </xf>
    <xf numFmtId="0" fontId="7" fillId="0" borderId="0" xfId="0" applyFont="1" applyAlignment="1">
      <alignment horizontal="left"/>
    </xf>
    <xf numFmtId="4" fontId="5" fillId="3" borderId="12" xfId="0" applyNumberFormat="1" applyFont="1" applyFill="1" applyBorder="1" applyAlignment="1">
      <alignment horizontal="center" vertical="center" wrapText="1"/>
    </xf>
    <xf numFmtId="2" fontId="7" fillId="0" borderId="4" xfId="0" applyNumberFormat="1" applyFont="1" applyBorder="1" applyAlignment="1">
      <alignment horizontal="center"/>
    </xf>
    <xf numFmtId="170" fontId="13" fillId="0" borderId="1" xfId="0" applyNumberFormat="1" applyFont="1" applyBorder="1" applyAlignment="1">
      <alignment horizontal="left" indent="2"/>
    </xf>
    <xf numFmtId="0" fontId="7" fillId="0" borderId="0" xfId="0" applyFont="1" applyAlignment="1">
      <alignment horizontal="left" wrapText="1"/>
    </xf>
    <xf numFmtId="0" fontId="7" fillId="0" borderId="0" xfId="0" applyFont="1" applyAlignment="1">
      <alignment horizontal="left" wrapText="1" indent="2"/>
    </xf>
    <xf numFmtId="0" fontId="16" fillId="0" borderId="0" xfId="0" applyFont="1" applyAlignment="1">
      <alignment horizontal="right"/>
    </xf>
    <xf numFmtId="0" fontId="16" fillId="0" borderId="0" xfId="0" applyFont="1" applyAlignment="1">
      <alignment horizontal="center"/>
    </xf>
    <xf numFmtId="4" fontId="16" fillId="0" borderId="0" xfId="0" applyNumberFormat="1" applyFont="1" applyAlignment="1">
      <alignment horizontal="left"/>
    </xf>
    <xf numFmtId="165" fontId="7" fillId="0" borderId="0" xfId="0" applyNumberFormat="1" applyFont="1" applyAlignment="1">
      <alignment horizontal="center"/>
    </xf>
    <xf numFmtId="0" fontId="5" fillId="0" borderId="0" xfId="0" applyFont="1" applyAlignment="1">
      <alignment horizontal="right"/>
    </xf>
    <xf numFmtId="0" fontId="5" fillId="3" borderId="11" xfId="0" applyFont="1" applyFill="1" applyBorder="1" applyAlignment="1">
      <alignment horizontal="center"/>
    </xf>
    <xf numFmtId="0" fontId="7" fillId="0" borderId="1" xfId="0" applyFont="1" applyBorder="1" applyAlignment="1">
      <alignment horizontal="center" wrapText="1"/>
    </xf>
    <xf numFmtId="171" fontId="7" fillId="0" borderId="9" xfId="0" applyNumberFormat="1" applyFont="1" applyBorder="1" applyAlignment="1">
      <alignment horizontal="right"/>
    </xf>
    <xf numFmtId="171" fontId="7" fillId="0" borderId="0" xfId="0" applyNumberFormat="1" applyFont="1" applyAlignment="1">
      <alignment horizontal="right"/>
    </xf>
    <xf numFmtId="2" fontId="19" fillId="0" borderId="0" xfId="0" applyNumberFormat="1" applyFont="1" applyAlignment="1">
      <alignment horizontal="left" indent="6"/>
    </xf>
    <xf numFmtId="4" fontId="7" fillId="0" borderId="0" xfId="0" applyNumberFormat="1" applyFont="1" applyAlignment="1">
      <alignment horizontal="center"/>
    </xf>
    <xf numFmtId="1" fontId="5" fillId="3" borderId="1" xfId="0" applyNumberFormat="1" applyFont="1" applyFill="1" applyBorder="1" applyAlignment="1">
      <alignment horizontal="center"/>
    </xf>
    <xf numFmtId="0" fontId="7" fillId="4" borderId="1" xfId="0" applyFont="1" applyFill="1" applyBorder="1" applyAlignment="1">
      <alignment horizontal="center"/>
    </xf>
    <xf numFmtId="3" fontId="7" fillId="0" borderId="0" xfId="0" applyNumberFormat="1" applyFont="1" applyAlignment="1">
      <alignment horizontal="center"/>
    </xf>
    <xf numFmtId="7" fontId="7" fillId="0" borderId="10" xfId="0" applyNumberFormat="1" applyFont="1" applyBorder="1" applyAlignment="1">
      <alignment horizontal="right"/>
    </xf>
    <xf numFmtId="7" fontId="7" fillId="0" borderId="0" xfId="0" applyNumberFormat="1" applyFont="1" applyAlignment="1">
      <alignment horizontal="right"/>
    </xf>
    <xf numFmtId="0" fontId="20" fillId="0" borderId="0" xfId="0" applyFont="1" applyAlignment="1">
      <alignment horizontal="left" wrapText="1"/>
    </xf>
    <xf numFmtId="0" fontId="20" fillId="0" borderId="0" xfId="0" applyFont="1" applyAlignment="1">
      <alignment horizontal="left"/>
    </xf>
    <xf numFmtId="0" fontId="23"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114300</xdr:colOff>
      <xdr:row>1</xdr:row>
      <xdr:rowOff>25400</xdr:rowOff>
    </xdr:to>
    <xdr:sp macro="" textlink="">
      <xdr:nvSpPr>
        <xdr:cNvPr id="1025" name="FILTER" hidden="1">
          <a:extLst>
            <a:ext uri="{63B3BB69-23CF-44E3-9099-C40C66FF867C}">
              <a14:compatExt xmlns:a14="http://schemas.microsoft.com/office/drawing/2010/main" spid="_x0000_s1025"/>
            </a:ext>
            <a:ext uri="{FF2B5EF4-FFF2-40B4-BE49-F238E27FC236}">
              <a16:creationId xmlns:a16="http://schemas.microsoft.com/office/drawing/2014/main" xmlns="" id="{00000000-0008-0000-0000-000001040000}"/>
            </a:ext>
          </a:extLst>
        </xdr:cNvPr>
        <xdr:cNvSpPr/>
      </xdr:nvSpPr>
      <xdr:spPr>
        <a:xfrm>
          <a:off x="0" y="0"/>
          <a:ext cx="0" cy="0"/>
        </a:xfrm>
        <a:prstGeom prst="rect">
          <a:avLst/>
        </a:prstGeom>
      </xdr:spPr>
    </xdr:sp>
    <xdr:clientData/>
  </xdr:twoCellAnchor>
  <xdr:twoCellAnchor editAs="oneCell">
    <xdr:from>
      <xdr:col>0</xdr:col>
      <xdr:colOff>0</xdr:colOff>
      <xdr:row>0</xdr:row>
      <xdr:rowOff>0</xdr:rowOff>
    </xdr:from>
    <xdr:to>
      <xdr:col>4</xdr:col>
      <xdr:colOff>114300</xdr:colOff>
      <xdr:row>1</xdr:row>
      <xdr:rowOff>25400</xdr:rowOff>
    </xdr:to>
    <xdr:sp macro="" textlink="">
      <xdr:nvSpPr>
        <xdr:cNvPr id="1026" name="HEADER" hidden="1">
          <a:extLst>
            <a:ext uri="{63B3BB69-23CF-44E3-9099-C40C66FF867C}">
              <a14:compatExt xmlns:a14="http://schemas.microsoft.com/office/drawing/2010/main" spid="_x0000_s1026"/>
            </a:ext>
            <a:ext uri="{FF2B5EF4-FFF2-40B4-BE49-F238E27FC236}">
              <a16:creationId xmlns:a16="http://schemas.microsoft.com/office/drawing/2014/main" xmlns="" id="{00000000-0008-0000-0000-000002040000}"/>
            </a:ext>
          </a:extLst>
        </xdr:cNvPr>
        <xdr:cNvSpPr/>
      </xdr:nvSpPr>
      <xdr:spPr>
        <a:xfrm>
          <a:off x="0" y="0"/>
          <a:ext cx="0" cy="0"/>
        </a:xfrm>
        <a:prstGeom prst="rect">
          <a:avLst/>
        </a:prstGeom>
      </xdr:spPr>
    </xdr:sp>
    <xdr:clientData/>
  </xdr:twoCellAnchor>
  <xdr:twoCellAnchor editAs="oneCell">
    <xdr:from>
      <xdr:col>0</xdr:col>
      <xdr:colOff>0</xdr:colOff>
      <xdr:row>0</xdr:row>
      <xdr:rowOff>0</xdr:rowOff>
    </xdr:from>
    <xdr:to>
      <xdr:col>4</xdr:col>
      <xdr:colOff>114300</xdr:colOff>
      <xdr:row>1</xdr:row>
      <xdr:rowOff>25400</xdr:rowOff>
    </xdr:to>
    <xdr:pic>
      <xdr:nvPicPr>
        <xdr:cNvPr id="2" name="FILTER" hidden="1">
          <a:extLst>
            <a:ext uri="{FF2B5EF4-FFF2-40B4-BE49-F238E27FC236}">
              <a16:creationId xmlns:a16="http://schemas.microsoft.com/office/drawing/2014/main" xmlns=""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215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114300</xdr:colOff>
      <xdr:row>1</xdr:row>
      <xdr:rowOff>25400</xdr:rowOff>
    </xdr:to>
    <xdr:pic>
      <xdr:nvPicPr>
        <xdr:cNvPr id="3" name="HEADER" hidden="1">
          <a:extLst>
            <a:ext uri="{FF2B5EF4-FFF2-40B4-BE49-F238E27FC236}">
              <a16:creationId xmlns:a16="http://schemas.microsoft.com/office/drawing/2014/main" xmlns="" id="{00000000-0008-0000-00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28700" cy="215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ather.fischer/Downloads/1920CSREW4th.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Detail 2019-20 4th FEFP"/>
      <sheetName val="111-112-113 ADDITIONAL FUND"/>
      <sheetName val="Transportation Per Student"/>
      <sheetName val="75% or more ESE Cal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R106"/>
  <sheetViews>
    <sheetView tabSelected="1" topLeftCell="A13" workbookViewId="0">
      <selection activeCell="H13" sqref="H13"/>
    </sheetView>
  </sheetViews>
  <sheetFormatPr baseColWidth="10" defaultColWidth="8.83203125" defaultRowHeight="14" outlineLevelRow="4" outlineLevelCol="1" x14ac:dyDescent="0"/>
  <cols>
    <col min="1" max="4" width="3" style="6" customWidth="1"/>
    <col min="5" max="5" width="36.5" style="6" customWidth="1"/>
    <col min="6" max="6" width="9" style="7" customWidth="1" outlineLevel="1"/>
    <col min="7" max="10" width="8.5" style="7" bestFit="1" customWidth="1" outlineLevel="1"/>
    <col min="11" max="12" width="9.5" style="7" customWidth="1" outlineLevel="1"/>
    <col min="13" max="13" width="9.83203125" style="7" customWidth="1" outlineLevel="1"/>
    <col min="14" max="17" width="8.5" style="7" bestFit="1" customWidth="1" outlineLevel="1"/>
    <col min="18" max="18" width="10" style="7" bestFit="1" customWidth="1"/>
  </cols>
  <sheetData>
    <row r="1" spans="1:18" s="5" customFormat="1" ht="15" thickBot="1">
      <c r="A1" s="3"/>
      <c r="B1" s="3"/>
      <c r="C1" s="3"/>
      <c r="D1" s="3"/>
      <c r="E1" s="3"/>
      <c r="F1" s="4" t="s">
        <v>82</v>
      </c>
      <c r="G1" s="4" t="s">
        <v>83</v>
      </c>
      <c r="H1" s="4" t="s">
        <v>84</v>
      </c>
      <c r="I1" s="4" t="s">
        <v>85</v>
      </c>
      <c r="J1" s="4" t="s">
        <v>86</v>
      </c>
      <c r="K1" s="4" t="s">
        <v>87</v>
      </c>
      <c r="L1" s="4" t="s">
        <v>88</v>
      </c>
      <c r="M1" s="4" t="s">
        <v>89</v>
      </c>
      <c r="N1" s="4" t="s">
        <v>90</v>
      </c>
      <c r="O1" s="4" t="s">
        <v>91</v>
      </c>
      <c r="P1" s="4" t="s">
        <v>92</v>
      </c>
      <c r="Q1" s="4" t="s">
        <v>93</v>
      </c>
      <c r="R1" s="4" t="s">
        <v>0</v>
      </c>
    </row>
    <row r="2" spans="1:18" ht="15" outlineLevel="2" thickTop="1">
      <c r="A2" s="1"/>
      <c r="B2" s="1" t="s">
        <v>1</v>
      </c>
      <c r="C2" s="1"/>
      <c r="D2" s="1"/>
      <c r="E2" s="1"/>
      <c r="F2" s="2"/>
      <c r="G2" s="2"/>
      <c r="H2" s="2"/>
      <c r="I2" s="2"/>
      <c r="J2" s="2"/>
      <c r="K2" s="2"/>
      <c r="L2" s="2"/>
      <c r="M2" s="2"/>
      <c r="N2" s="2"/>
      <c r="O2" s="2"/>
      <c r="P2" s="2"/>
      <c r="Q2" s="2"/>
      <c r="R2" s="2"/>
    </row>
    <row r="3" spans="1:18" outlineLevel="3">
      <c r="A3" s="1"/>
      <c r="B3" s="1"/>
      <c r="C3" s="1" t="s">
        <v>2</v>
      </c>
      <c r="D3" s="1"/>
      <c r="E3" s="1"/>
      <c r="F3" s="2"/>
      <c r="G3" s="2"/>
      <c r="H3" s="2"/>
      <c r="I3" s="2"/>
      <c r="J3" s="2"/>
      <c r="K3" s="2"/>
      <c r="L3" s="2"/>
      <c r="M3" s="2"/>
      <c r="N3" s="2"/>
      <c r="O3" s="2"/>
      <c r="P3" s="2"/>
      <c r="Q3" s="2"/>
      <c r="R3" s="2"/>
    </row>
    <row r="4" spans="1:18" s="79" customFormat="1" outlineLevel="3">
      <c r="A4" s="77"/>
      <c r="B4" s="77"/>
      <c r="C4" s="77"/>
      <c r="D4" s="77" t="s">
        <v>3</v>
      </c>
      <c r="E4" s="77"/>
      <c r="F4" s="78">
        <v>0</v>
      </c>
      <c r="G4" s="78">
        <v>0</v>
      </c>
      <c r="H4" s="78">
        <v>1505</v>
      </c>
      <c r="I4" s="78">
        <v>0</v>
      </c>
      <c r="J4" s="78">
        <v>0</v>
      </c>
      <c r="K4" s="78">
        <v>0</v>
      </c>
      <c r="L4" s="78">
        <v>0</v>
      </c>
      <c r="M4" s="78">
        <v>0</v>
      </c>
      <c r="N4" s="78">
        <v>0</v>
      </c>
      <c r="O4" s="78">
        <v>0</v>
      </c>
      <c r="P4" s="78">
        <v>0</v>
      </c>
      <c r="Q4" s="78">
        <v>0</v>
      </c>
      <c r="R4" s="78">
        <f>ROUND(SUM(F4:Q4),5)</f>
        <v>1505</v>
      </c>
    </row>
    <row r="5" spans="1:18" s="79" customFormat="1" ht="15" outlineLevel="3" thickBot="1">
      <c r="A5" s="77"/>
      <c r="B5" s="77"/>
      <c r="C5" s="77"/>
      <c r="D5" s="77" t="s">
        <v>237</v>
      </c>
      <c r="E5" s="77"/>
      <c r="F5" s="81">
        <v>0</v>
      </c>
      <c r="G5" s="81">
        <v>0</v>
      </c>
      <c r="H5" s="81">
        <v>0</v>
      </c>
      <c r="I5" s="81">
        <v>0</v>
      </c>
      <c r="J5" s="81">
        <v>0</v>
      </c>
      <c r="K5" s="81">
        <v>0</v>
      </c>
      <c r="L5" s="81">
        <v>0</v>
      </c>
      <c r="M5" s="81">
        <v>0</v>
      </c>
      <c r="N5" s="81">
        <v>0</v>
      </c>
      <c r="O5" s="81">
        <v>0</v>
      </c>
      <c r="P5" s="81">
        <v>0</v>
      </c>
      <c r="Q5" s="81">
        <v>0</v>
      </c>
      <c r="R5" s="81">
        <f>ROUND(SUM(F5:Q5),5)</f>
        <v>0</v>
      </c>
    </row>
    <row r="6" spans="1:18" s="79" customFormat="1" outlineLevel="2">
      <c r="A6" s="77"/>
      <c r="B6" s="77"/>
      <c r="C6" s="77" t="s">
        <v>4</v>
      </c>
      <c r="D6" s="77"/>
      <c r="E6" s="77"/>
      <c r="F6" s="78">
        <f>(+FEFP!$H$91/12)+Sheet1!F4</f>
        <v>75064.333333333328</v>
      </c>
      <c r="G6" s="78">
        <f>(+FEFP!$H$91/12)+Sheet1!G4</f>
        <v>75064.333333333328</v>
      </c>
      <c r="H6" s="78">
        <f>(+FEFP!$H$91/12)+Sheet1!H4</f>
        <v>76569.333333333328</v>
      </c>
      <c r="I6" s="78">
        <f>(+FEFP!$H$91/12)+Sheet1!I4</f>
        <v>75064.333333333328</v>
      </c>
      <c r="J6" s="78">
        <f>(+FEFP!$H$91/12)+Sheet1!J4</f>
        <v>75064.333333333328</v>
      </c>
      <c r="K6" s="78">
        <f>(+FEFP!$H$91/12)+Sheet1!K4</f>
        <v>75064.333333333328</v>
      </c>
      <c r="L6" s="78">
        <f>(+FEFP!$H$91/12)+Sheet1!L4</f>
        <v>75064.333333333328</v>
      </c>
      <c r="M6" s="78">
        <f>(+FEFP!$H$91/12)+Sheet1!M4</f>
        <v>75064.333333333328</v>
      </c>
      <c r="N6" s="78">
        <f>(+FEFP!$H$91/12)+Sheet1!N4</f>
        <v>75064.333333333328</v>
      </c>
      <c r="O6" s="78">
        <f>(+FEFP!$H$91/12)+Sheet1!O4</f>
        <v>75064.333333333328</v>
      </c>
      <c r="P6" s="78">
        <f>(+FEFP!$H$91/12)+Sheet1!P4</f>
        <v>75064.333333333328</v>
      </c>
      <c r="Q6" s="78">
        <f>(+FEFP!$H$91/12)+Sheet1!Q4</f>
        <v>75064.333333333328</v>
      </c>
      <c r="R6" s="78">
        <f>ROUND(SUM(F6:Q6),5)</f>
        <v>902277</v>
      </c>
    </row>
    <row r="7" spans="1:18" s="79" customFormat="1" outlineLevel="2">
      <c r="A7" s="77"/>
      <c r="B7" s="77"/>
      <c r="C7" s="77" t="s">
        <v>5</v>
      </c>
      <c r="D7" s="77"/>
      <c r="E7" s="77"/>
      <c r="F7" s="78">
        <f>+FEFP!C27*510/12</f>
        <v>5100</v>
      </c>
      <c r="G7" s="78">
        <f t="shared" ref="G7:Q7" si="0">+F7</f>
        <v>5100</v>
      </c>
      <c r="H7" s="78">
        <f t="shared" si="0"/>
        <v>5100</v>
      </c>
      <c r="I7" s="78">
        <f t="shared" si="0"/>
        <v>5100</v>
      </c>
      <c r="J7" s="78">
        <f t="shared" si="0"/>
        <v>5100</v>
      </c>
      <c r="K7" s="78">
        <f t="shared" si="0"/>
        <v>5100</v>
      </c>
      <c r="L7" s="78">
        <f t="shared" si="0"/>
        <v>5100</v>
      </c>
      <c r="M7" s="78">
        <f t="shared" si="0"/>
        <v>5100</v>
      </c>
      <c r="N7" s="78">
        <f t="shared" si="0"/>
        <v>5100</v>
      </c>
      <c r="O7" s="78">
        <f t="shared" si="0"/>
        <v>5100</v>
      </c>
      <c r="P7" s="78">
        <f t="shared" si="0"/>
        <v>5100</v>
      </c>
      <c r="Q7" s="78">
        <f t="shared" si="0"/>
        <v>5100</v>
      </c>
      <c r="R7" s="78">
        <f>ROUND(SUM(F7:Q7),5)</f>
        <v>61200</v>
      </c>
    </row>
    <row r="8" spans="1:18" s="79" customFormat="1" outlineLevel="3">
      <c r="A8" s="77"/>
      <c r="B8" s="77"/>
      <c r="C8" s="77" t="s">
        <v>6</v>
      </c>
      <c r="D8" s="77"/>
      <c r="E8" s="77"/>
      <c r="F8" s="78"/>
      <c r="G8" s="78"/>
      <c r="H8" s="78"/>
      <c r="I8" s="78"/>
      <c r="J8" s="78"/>
      <c r="K8" s="78"/>
      <c r="L8" s="78"/>
      <c r="M8" s="78"/>
      <c r="N8" s="78"/>
      <c r="O8" s="78"/>
      <c r="P8" s="78"/>
      <c r="Q8" s="78"/>
      <c r="R8" s="78"/>
    </row>
    <row r="9" spans="1:18" s="79" customFormat="1" ht="15" outlineLevel="3" thickBot="1">
      <c r="A9" s="77"/>
      <c r="B9" s="77"/>
      <c r="C9" s="77"/>
      <c r="D9" s="77" t="s">
        <v>7</v>
      </c>
      <c r="E9" s="77"/>
      <c r="F9" s="81">
        <v>0</v>
      </c>
      <c r="G9" s="81">
        <v>9000</v>
      </c>
      <c r="H9" s="81">
        <f t="shared" ref="H9:P9" si="1">+G9</f>
        <v>9000</v>
      </c>
      <c r="I9" s="81">
        <f t="shared" si="1"/>
        <v>9000</v>
      </c>
      <c r="J9" s="81">
        <f t="shared" si="1"/>
        <v>9000</v>
      </c>
      <c r="K9" s="81">
        <f t="shared" si="1"/>
        <v>9000</v>
      </c>
      <c r="L9" s="81">
        <f t="shared" si="1"/>
        <v>9000</v>
      </c>
      <c r="M9" s="81">
        <f t="shared" si="1"/>
        <v>9000</v>
      </c>
      <c r="N9" s="81">
        <f t="shared" si="1"/>
        <v>9000</v>
      </c>
      <c r="O9" s="81">
        <f t="shared" si="1"/>
        <v>9000</v>
      </c>
      <c r="P9" s="81">
        <f t="shared" si="1"/>
        <v>9000</v>
      </c>
      <c r="Q9" s="81">
        <v>0</v>
      </c>
      <c r="R9" s="81">
        <f>ROUND(SUM(F9:Q9),5)</f>
        <v>90000</v>
      </c>
    </row>
    <row r="10" spans="1:18" s="79" customFormat="1" outlineLevel="2">
      <c r="A10" s="77"/>
      <c r="B10" s="77"/>
      <c r="C10" s="77" t="s">
        <v>8</v>
      </c>
      <c r="D10" s="77"/>
      <c r="E10" s="77"/>
      <c r="F10" s="78">
        <f t="shared" ref="F10:Q10" si="2">ROUND(SUM(F8:F9),5)</f>
        <v>0</v>
      </c>
      <c r="G10" s="78">
        <f t="shared" si="2"/>
        <v>9000</v>
      </c>
      <c r="H10" s="78">
        <f t="shared" si="2"/>
        <v>9000</v>
      </c>
      <c r="I10" s="78">
        <f t="shared" si="2"/>
        <v>9000</v>
      </c>
      <c r="J10" s="78">
        <f t="shared" si="2"/>
        <v>9000</v>
      </c>
      <c r="K10" s="78">
        <f t="shared" si="2"/>
        <v>9000</v>
      </c>
      <c r="L10" s="78">
        <f t="shared" si="2"/>
        <v>9000</v>
      </c>
      <c r="M10" s="78">
        <f t="shared" si="2"/>
        <v>9000</v>
      </c>
      <c r="N10" s="78">
        <f t="shared" si="2"/>
        <v>9000</v>
      </c>
      <c r="O10" s="78">
        <f t="shared" si="2"/>
        <v>9000</v>
      </c>
      <c r="P10" s="78">
        <f t="shared" si="2"/>
        <v>9000</v>
      </c>
      <c r="Q10" s="78">
        <f t="shared" si="2"/>
        <v>0</v>
      </c>
      <c r="R10" s="78">
        <f>ROUND(SUM(F10:Q10),5)</f>
        <v>90000</v>
      </c>
    </row>
    <row r="11" spans="1:18" s="79" customFormat="1" outlineLevel="3">
      <c r="A11" s="77"/>
      <c r="B11" s="77"/>
      <c r="C11" s="77" t="s">
        <v>9</v>
      </c>
      <c r="D11" s="77"/>
      <c r="E11" s="77"/>
      <c r="F11" s="78"/>
      <c r="G11" s="78"/>
      <c r="H11" s="78"/>
      <c r="I11" s="78"/>
      <c r="J11" s="78"/>
      <c r="K11" s="78"/>
      <c r="L11" s="78"/>
      <c r="M11" s="78"/>
      <c r="N11" s="78"/>
      <c r="O11" s="78"/>
      <c r="P11" s="78"/>
      <c r="Q11" s="78"/>
      <c r="R11" s="78"/>
    </row>
    <row r="12" spans="1:18" s="79" customFormat="1" outlineLevel="3">
      <c r="A12" s="77"/>
      <c r="B12" s="77"/>
      <c r="C12" s="77"/>
      <c r="D12" s="77" t="s">
        <v>10</v>
      </c>
      <c r="E12" s="77"/>
      <c r="F12" s="78">
        <v>0</v>
      </c>
      <c r="G12" s="78">
        <v>0</v>
      </c>
      <c r="H12" s="78">
        <f>47000/10</f>
        <v>4700</v>
      </c>
      <c r="I12" s="78">
        <f>H12</f>
        <v>4700</v>
      </c>
      <c r="J12" s="78">
        <f t="shared" ref="J12:Q12" si="3">I12</f>
        <v>4700</v>
      </c>
      <c r="K12" s="78">
        <f t="shared" si="3"/>
        <v>4700</v>
      </c>
      <c r="L12" s="78">
        <f t="shared" si="3"/>
        <v>4700</v>
      </c>
      <c r="M12" s="78">
        <f t="shared" si="3"/>
        <v>4700</v>
      </c>
      <c r="N12" s="78">
        <f t="shared" si="3"/>
        <v>4700</v>
      </c>
      <c r="O12" s="78">
        <f t="shared" si="3"/>
        <v>4700</v>
      </c>
      <c r="P12" s="78">
        <f t="shared" si="3"/>
        <v>4700</v>
      </c>
      <c r="Q12" s="78">
        <f t="shared" si="3"/>
        <v>4700</v>
      </c>
      <c r="R12" s="78">
        <f>ROUND(SUM(F12:Q12),5)</f>
        <v>47000</v>
      </c>
    </row>
    <row r="13" spans="1:18" s="79" customFormat="1" outlineLevel="3">
      <c r="A13" s="77"/>
      <c r="B13" s="77"/>
      <c r="C13" s="77"/>
      <c r="D13" s="77" t="s">
        <v>11</v>
      </c>
      <c r="E13" s="77"/>
      <c r="F13" s="78">
        <v>5</v>
      </c>
      <c r="G13" s="78">
        <f t="shared" ref="G13:Q13" si="4">+F13</f>
        <v>5</v>
      </c>
      <c r="H13" s="78">
        <f t="shared" si="4"/>
        <v>5</v>
      </c>
      <c r="I13" s="78">
        <f t="shared" si="4"/>
        <v>5</v>
      </c>
      <c r="J13" s="78">
        <f t="shared" si="4"/>
        <v>5</v>
      </c>
      <c r="K13" s="78">
        <f t="shared" si="4"/>
        <v>5</v>
      </c>
      <c r="L13" s="78">
        <f t="shared" si="4"/>
        <v>5</v>
      </c>
      <c r="M13" s="78">
        <f t="shared" si="4"/>
        <v>5</v>
      </c>
      <c r="N13" s="78">
        <f t="shared" si="4"/>
        <v>5</v>
      </c>
      <c r="O13" s="78">
        <f t="shared" si="4"/>
        <v>5</v>
      </c>
      <c r="P13" s="78">
        <f t="shared" si="4"/>
        <v>5</v>
      </c>
      <c r="Q13" s="78">
        <f t="shared" si="4"/>
        <v>5</v>
      </c>
      <c r="R13" s="78">
        <f>ROUND(SUM(F13:Q13),5)</f>
        <v>60</v>
      </c>
    </row>
    <row r="14" spans="1:18" s="79" customFormat="1" ht="15" outlineLevel="3" thickBot="1">
      <c r="A14" s="77"/>
      <c r="B14" s="77"/>
      <c r="C14" s="77"/>
      <c r="D14" s="77" t="s">
        <v>12</v>
      </c>
      <c r="E14" s="77"/>
      <c r="F14" s="81">
        <v>0</v>
      </c>
      <c r="G14" s="81">
        <v>0</v>
      </c>
      <c r="H14" s="81">
        <v>300</v>
      </c>
      <c r="I14" s="81">
        <v>0</v>
      </c>
      <c r="J14" s="81">
        <v>0</v>
      </c>
      <c r="K14" s="81">
        <f>+H14</f>
        <v>300</v>
      </c>
      <c r="L14" s="81">
        <v>0</v>
      </c>
      <c r="M14" s="81">
        <v>0</v>
      </c>
      <c r="N14" s="81">
        <f>+K14</f>
        <v>300</v>
      </c>
      <c r="O14" s="81">
        <v>0</v>
      </c>
      <c r="P14" s="81">
        <v>0</v>
      </c>
      <c r="Q14" s="81">
        <f>+N14</f>
        <v>300</v>
      </c>
      <c r="R14" s="81">
        <f>ROUND(SUM(F14:Q14),5)</f>
        <v>1200</v>
      </c>
    </row>
    <row r="15" spans="1:18" s="79" customFormat="1" outlineLevel="2">
      <c r="A15" s="77"/>
      <c r="B15" s="77"/>
      <c r="C15" s="77" t="s">
        <v>13</v>
      </c>
      <c r="D15" s="77"/>
      <c r="E15" s="77"/>
      <c r="F15" s="78">
        <f t="shared" ref="F15:Q15" si="5">ROUND(SUM(F11:F14),5)</f>
        <v>5</v>
      </c>
      <c r="G15" s="78">
        <f t="shared" si="5"/>
        <v>5</v>
      </c>
      <c r="H15" s="78">
        <f t="shared" si="5"/>
        <v>5005</v>
      </c>
      <c r="I15" s="78">
        <f t="shared" si="5"/>
        <v>4705</v>
      </c>
      <c r="J15" s="78">
        <f t="shared" si="5"/>
        <v>4705</v>
      </c>
      <c r="K15" s="78">
        <f t="shared" si="5"/>
        <v>5005</v>
      </c>
      <c r="L15" s="78">
        <f t="shared" si="5"/>
        <v>4705</v>
      </c>
      <c r="M15" s="78">
        <f t="shared" si="5"/>
        <v>4705</v>
      </c>
      <c r="N15" s="78">
        <f t="shared" si="5"/>
        <v>5005</v>
      </c>
      <c r="O15" s="78">
        <f t="shared" si="5"/>
        <v>4705</v>
      </c>
      <c r="P15" s="78">
        <f t="shared" si="5"/>
        <v>4705</v>
      </c>
      <c r="Q15" s="78">
        <f t="shared" si="5"/>
        <v>5005</v>
      </c>
      <c r="R15" s="78">
        <f>ROUND(SUM(F15:Q15),5)</f>
        <v>48260</v>
      </c>
    </row>
    <row r="16" spans="1:18" s="79" customFormat="1" outlineLevel="3">
      <c r="A16" s="77"/>
      <c r="B16" s="77"/>
      <c r="C16" s="77" t="s">
        <v>14</v>
      </c>
      <c r="D16" s="77"/>
      <c r="E16" s="77"/>
      <c r="F16" s="78"/>
      <c r="G16" s="78"/>
      <c r="H16" s="78"/>
      <c r="I16" s="78"/>
      <c r="J16" s="78"/>
      <c r="K16" s="78"/>
      <c r="L16" s="78"/>
      <c r="M16" s="78"/>
      <c r="N16" s="78"/>
      <c r="O16" s="78"/>
      <c r="P16" s="78"/>
      <c r="Q16" s="78"/>
      <c r="R16" s="78"/>
    </row>
    <row r="17" spans="1:18" s="79" customFormat="1" outlineLevel="3">
      <c r="A17" s="77"/>
      <c r="B17" s="77"/>
      <c r="C17" s="77"/>
      <c r="D17" s="77" t="s">
        <v>15</v>
      </c>
      <c r="E17" s="77"/>
      <c r="F17" s="78">
        <v>0</v>
      </c>
      <c r="G17" s="78">
        <v>0</v>
      </c>
      <c r="H17" s="78">
        <f>98000/10</f>
        <v>9800</v>
      </c>
      <c r="I17" s="78">
        <f>H17</f>
        <v>9800</v>
      </c>
      <c r="J17" s="78">
        <f t="shared" ref="J17:Q17" si="6">I17</f>
        <v>9800</v>
      </c>
      <c r="K17" s="78">
        <f t="shared" si="6"/>
        <v>9800</v>
      </c>
      <c r="L17" s="78">
        <f t="shared" si="6"/>
        <v>9800</v>
      </c>
      <c r="M17" s="78">
        <f t="shared" si="6"/>
        <v>9800</v>
      </c>
      <c r="N17" s="78">
        <f t="shared" si="6"/>
        <v>9800</v>
      </c>
      <c r="O17" s="78">
        <f t="shared" si="6"/>
        <v>9800</v>
      </c>
      <c r="P17" s="78">
        <f t="shared" si="6"/>
        <v>9800</v>
      </c>
      <c r="Q17" s="78">
        <f t="shared" si="6"/>
        <v>9800</v>
      </c>
      <c r="R17" s="78">
        <f>ROUND(SUM(F17:Q17),5)</f>
        <v>98000</v>
      </c>
    </row>
    <row r="18" spans="1:18" s="79" customFormat="1" outlineLevel="3">
      <c r="A18" s="77"/>
      <c r="B18" s="77"/>
      <c r="C18" s="77"/>
      <c r="D18" s="77" t="s">
        <v>16</v>
      </c>
      <c r="E18" s="77"/>
      <c r="F18" s="78">
        <v>0</v>
      </c>
      <c r="G18" s="78">
        <v>0</v>
      </c>
      <c r="H18" s="78">
        <v>0</v>
      </c>
      <c r="I18" s="78">
        <v>0</v>
      </c>
      <c r="J18" s="78">
        <v>0</v>
      </c>
      <c r="K18" s="78">
        <v>0</v>
      </c>
      <c r="L18" s="78">
        <v>0</v>
      </c>
      <c r="M18" s="78">
        <v>0</v>
      </c>
      <c r="N18" s="78">
        <v>0</v>
      </c>
      <c r="O18" s="78">
        <v>0</v>
      </c>
      <c r="P18" s="78">
        <v>0</v>
      </c>
      <c r="Q18" s="78">
        <v>0</v>
      </c>
      <c r="R18" s="78">
        <f>ROUND(SUM(F18:Q18),5)</f>
        <v>0</v>
      </c>
    </row>
    <row r="19" spans="1:18" s="79" customFormat="1" ht="15" outlineLevel="3" thickBot="1">
      <c r="A19" s="77"/>
      <c r="B19" s="77"/>
      <c r="C19" s="77"/>
      <c r="D19" s="77" t="s">
        <v>17</v>
      </c>
      <c r="E19" s="77"/>
      <c r="F19" s="80">
        <v>0</v>
      </c>
      <c r="G19" s="80">
        <v>0</v>
      </c>
      <c r="H19" s="80">
        <v>0</v>
      </c>
      <c r="I19" s="80">
        <v>0</v>
      </c>
      <c r="J19" s="80">
        <v>0</v>
      </c>
      <c r="K19" s="80">
        <v>0</v>
      </c>
      <c r="L19" s="80">
        <v>0</v>
      </c>
      <c r="M19" s="80">
        <v>0</v>
      </c>
      <c r="N19" s="80">
        <v>0</v>
      </c>
      <c r="O19" s="80">
        <v>0</v>
      </c>
      <c r="P19" s="80">
        <v>0</v>
      </c>
      <c r="Q19" s="80">
        <v>0</v>
      </c>
      <c r="R19" s="80">
        <f>ROUND(SUM(F19:Q19),5)</f>
        <v>0</v>
      </c>
    </row>
    <row r="20" spans="1:18" s="79" customFormat="1" ht="15" outlineLevel="2" thickBot="1">
      <c r="A20" s="77"/>
      <c r="B20" s="77"/>
      <c r="C20" s="77" t="s">
        <v>18</v>
      </c>
      <c r="D20" s="77"/>
      <c r="E20" s="77"/>
      <c r="F20" s="82">
        <f t="shared" ref="F20:Q20" si="7">ROUND(SUM(F16:F19),5)</f>
        <v>0</v>
      </c>
      <c r="G20" s="82">
        <f t="shared" si="7"/>
        <v>0</v>
      </c>
      <c r="H20" s="82">
        <f t="shared" si="7"/>
        <v>9800</v>
      </c>
      <c r="I20" s="82">
        <f t="shared" si="7"/>
        <v>9800</v>
      </c>
      <c r="J20" s="82">
        <f t="shared" si="7"/>
        <v>9800</v>
      </c>
      <c r="K20" s="82">
        <f t="shared" si="7"/>
        <v>9800</v>
      </c>
      <c r="L20" s="82">
        <f t="shared" si="7"/>
        <v>9800</v>
      </c>
      <c r="M20" s="82">
        <f t="shared" si="7"/>
        <v>9800</v>
      </c>
      <c r="N20" s="82">
        <f t="shared" si="7"/>
        <v>9800</v>
      </c>
      <c r="O20" s="82">
        <f t="shared" si="7"/>
        <v>9800</v>
      </c>
      <c r="P20" s="82">
        <f t="shared" si="7"/>
        <v>9800</v>
      </c>
      <c r="Q20" s="82">
        <f t="shared" si="7"/>
        <v>9800</v>
      </c>
      <c r="R20" s="82">
        <f>ROUND(SUM(F20:Q20),5)</f>
        <v>98000</v>
      </c>
    </row>
    <row r="21" spans="1:18" s="79" customFormat="1" outlineLevel="1">
      <c r="A21" s="77"/>
      <c r="B21" s="77" t="s">
        <v>19</v>
      </c>
      <c r="C21" s="77"/>
      <c r="D21" s="77"/>
      <c r="E21" s="77"/>
      <c r="F21" s="78">
        <f t="shared" ref="F21:Q21" si="8">ROUND(F2+SUM(F6:F7)+F10+F15+F20,5)</f>
        <v>80169.333329999994</v>
      </c>
      <c r="G21" s="78">
        <f t="shared" si="8"/>
        <v>89169.333329999994</v>
      </c>
      <c r="H21" s="78">
        <f t="shared" si="8"/>
        <v>105474.33332999999</v>
      </c>
      <c r="I21" s="78">
        <f t="shared" si="8"/>
        <v>103669.33332999999</v>
      </c>
      <c r="J21" s="78">
        <f t="shared" si="8"/>
        <v>103669.33332999999</v>
      </c>
      <c r="K21" s="78">
        <f t="shared" si="8"/>
        <v>103969.33332999999</v>
      </c>
      <c r="L21" s="78">
        <f t="shared" si="8"/>
        <v>103669.33332999999</v>
      </c>
      <c r="M21" s="78">
        <f t="shared" si="8"/>
        <v>103669.33332999999</v>
      </c>
      <c r="N21" s="78">
        <f t="shared" si="8"/>
        <v>103969.33332999999</v>
      </c>
      <c r="O21" s="78">
        <f t="shared" si="8"/>
        <v>103669.33332999999</v>
      </c>
      <c r="P21" s="78">
        <f t="shared" si="8"/>
        <v>103669.33332999999</v>
      </c>
      <c r="Q21" s="78">
        <f t="shared" si="8"/>
        <v>94969.333329999994</v>
      </c>
      <c r="R21" s="78">
        <f>ROUND(SUM(F21:Q21),5)</f>
        <v>1199736.9999599999</v>
      </c>
    </row>
    <row r="22" spans="1:18" s="79" customFormat="1" outlineLevel="2">
      <c r="A22" s="77"/>
      <c r="B22" s="77" t="s">
        <v>20</v>
      </c>
      <c r="C22" s="77"/>
      <c r="D22" s="77"/>
      <c r="E22" s="77"/>
      <c r="F22" s="78"/>
      <c r="G22" s="78"/>
      <c r="H22" s="78"/>
      <c r="I22" s="78"/>
      <c r="J22" s="78"/>
      <c r="K22" s="78"/>
      <c r="L22" s="78"/>
      <c r="M22" s="78"/>
      <c r="N22" s="78"/>
      <c r="O22" s="78"/>
      <c r="P22" s="78"/>
      <c r="Q22" s="78"/>
      <c r="R22" s="78"/>
    </row>
    <row r="23" spans="1:18" s="79" customFormat="1" outlineLevel="3">
      <c r="A23" s="77"/>
      <c r="B23" s="77"/>
      <c r="C23" s="77" t="s">
        <v>21</v>
      </c>
      <c r="D23" s="77"/>
      <c r="E23" s="77"/>
      <c r="F23" s="78"/>
      <c r="G23" s="78"/>
      <c r="H23" s="78"/>
      <c r="I23" s="78"/>
      <c r="J23" s="78"/>
      <c r="K23" s="78"/>
      <c r="L23" s="78"/>
      <c r="M23" s="78"/>
      <c r="N23" s="78"/>
      <c r="O23" s="78"/>
      <c r="P23" s="78"/>
      <c r="Q23" s="78"/>
      <c r="R23" s="78"/>
    </row>
    <row r="24" spans="1:18" s="79" customFormat="1" outlineLevel="4">
      <c r="A24" s="77"/>
      <c r="B24" s="77"/>
      <c r="C24" s="77"/>
      <c r="D24" s="77" t="s">
        <v>22</v>
      </c>
      <c r="E24" s="77"/>
      <c r="F24" s="78"/>
      <c r="G24" s="78"/>
      <c r="H24" s="78"/>
      <c r="I24" s="78"/>
      <c r="J24" s="78"/>
      <c r="K24" s="78"/>
      <c r="L24" s="78"/>
      <c r="M24" s="78"/>
      <c r="N24" s="78"/>
      <c r="O24" s="78"/>
      <c r="P24" s="78"/>
      <c r="Q24" s="78"/>
      <c r="R24" s="78"/>
    </row>
    <row r="25" spans="1:18" s="79" customFormat="1" outlineLevel="4">
      <c r="A25" s="77"/>
      <c r="B25" s="77"/>
      <c r="C25" s="77"/>
      <c r="D25" s="77"/>
      <c r="E25" s="77" t="s">
        <v>23</v>
      </c>
      <c r="F25" s="78">
        <f>+Salaries!D18/12</f>
        <v>42366.861733333331</v>
      </c>
      <c r="G25" s="78">
        <f t="shared" ref="G25:Q25" si="9">+F25</f>
        <v>42366.861733333331</v>
      </c>
      <c r="H25" s="78">
        <f t="shared" si="9"/>
        <v>42366.861733333331</v>
      </c>
      <c r="I25" s="78">
        <f t="shared" si="9"/>
        <v>42366.861733333331</v>
      </c>
      <c r="J25" s="78">
        <f t="shared" si="9"/>
        <v>42366.861733333331</v>
      </c>
      <c r="K25" s="78">
        <f t="shared" si="9"/>
        <v>42366.861733333331</v>
      </c>
      <c r="L25" s="78">
        <f t="shared" si="9"/>
        <v>42366.861733333331</v>
      </c>
      <c r="M25" s="78">
        <f t="shared" si="9"/>
        <v>42366.861733333331</v>
      </c>
      <c r="N25" s="78">
        <f t="shared" si="9"/>
        <v>42366.861733333331</v>
      </c>
      <c r="O25" s="78">
        <f t="shared" si="9"/>
        <v>42366.861733333331</v>
      </c>
      <c r="P25" s="78">
        <f t="shared" si="9"/>
        <v>42366.861733333331</v>
      </c>
      <c r="Q25" s="78">
        <f t="shared" si="9"/>
        <v>42366.861733333331</v>
      </c>
      <c r="R25" s="78">
        <f>ROUND(SUM(F25:Q25),5)</f>
        <v>508402.34080000001</v>
      </c>
    </row>
    <row r="26" spans="1:18" s="79" customFormat="1" outlineLevel="4">
      <c r="A26" s="77"/>
      <c r="B26" s="77"/>
      <c r="C26" s="77"/>
      <c r="D26" s="77"/>
      <c r="E26" s="77" t="s">
        <v>24</v>
      </c>
      <c r="F26" s="78">
        <f>+F25*0.0765</f>
        <v>3241.0649225999996</v>
      </c>
      <c r="G26" s="78">
        <f t="shared" ref="G26:Q26" si="10">+G25*0.0765</f>
        <v>3241.0649225999996</v>
      </c>
      <c r="H26" s="78">
        <f t="shared" si="10"/>
        <v>3241.0649225999996</v>
      </c>
      <c r="I26" s="78">
        <f t="shared" si="10"/>
        <v>3241.0649225999996</v>
      </c>
      <c r="J26" s="78">
        <f t="shared" si="10"/>
        <v>3241.0649225999996</v>
      </c>
      <c r="K26" s="78">
        <f t="shared" si="10"/>
        <v>3241.0649225999996</v>
      </c>
      <c r="L26" s="78">
        <f t="shared" si="10"/>
        <v>3241.0649225999996</v>
      </c>
      <c r="M26" s="78">
        <f t="shared" si="10"/>
        <v>3241.0649225999996</v>
      </c>
      <c r="N26" s="78">
        <f t="shared" si="10"/>
        <v>3241.0649225999996</v>
      </c>
      <c r="O26" s="78">
        <f t="shared" si="10"/>
        <v>3241.0649225999996</v>
      </c>
      <c r="P26" s="78">
        <f t="shared" si="10"/>
        <v>3241.0649225999996</v>
      </c>
      <c r="Q26" s="78">
        <f t="shared" si="10"/>
        <v>3241.0649225999996</v>
      </c>
      <c r="R26" s="78">
        <f>ROUND(SUM(F26:Q26),5)</f>
        <v>38892.779069999997</v>
      </c>
    </row>
    <row r="27" spans="1:18" s="79" customFormat="1" outlineLevel="4">
      <c r="A27" s="77"/>
      <c r="B27" s="77"/>
      <c r="C27" s="77"/>
      <c r="D27" s="77"/>
      <c r="E27" s="77" t="s">
        <v>266</v>
      </c>
      <c r="F27" s="78">
        <f>30000/12</f>
        <v>2500</v>
      </c>
      <c r="G27" s="78">
        <f>F27</f>
        <v>2500</v>
      </c>
      <c r="H27" s="78">
        <f t="shared" ref="H27:Q27" si="11">G27</f>
        <v>2500</v>
      </c>
      <c r="I27" s="78">
        <f t="shared" si="11"/>
        <v>2500</v>
      </c>
      <c r="J27" s="78">
        <f t="shared" si="11"/>
        <v>2500</v>
      </c>
      <c r="K27" s="78">
        <f t="shared" si="11"/>
        <v>2500</v>
      </c>
      <c r="L27" s="78">
        <f t="shared" si="11"/>
        <v>2500</v>
      </c>
      <c r="M27" s="78">
        <f t="shared" si="11"/>
        <v>2500</v>
      </c>
      <c r="N27" s="78">
        <f t="shared" si="11"/>
        <v>2500</v>
      </c>
      <c r="O27" s="78">
        <f t="shared" si="11"/>
        <v>2500</v>
      </c>
      <c r="P27" s="78">
        <f t="shared" si="11"/>
        <v>2500</v>
      </c>
      <c r="Q27" s="78">
        <f t="shared" si="11"/>
        <v>2500</v>
      </c>
      <c r="R27" s="78">
        <f>ROUND(SUM(F27:Q27),5)</f>
        <v>30000</v>
      </c>
    </row>
    <row r="28" spans="1:18" s="79" customFormat="1" outlineLevel="4">
      <c r="A28" s="77"/>
      <c r="B28" s="77"/>
      <c r="C28" s="77"/>
      <c r="D28" s="77"/>
      <c r="E28" s="77" t="s">
        <v>253</v>
      </c>
      <c r="F28" s="78">
        <f>+F25*0.01</f>
        <v>423.66861733333332</v>
      </c>
      <c r="G28" s="78">
        <f t="shared" ref="G28:Q28" si="12">+G25*0.01</f>
        <v>423.66861733333332</v>
      </c>
      <c r="H28" s="78">
        <f t="shared" si="12"/>
        <v>423.66861733333332</v>
      </c>
      <c r="I28" s="78">
        <f t="shared" si="12"/>
        <v>423.66861733333332</v>
      </c>
      <c r="J28" s="78">
        <f t="shared" si="12"/>
        <v>423.66861733333332</v>
      </c>
      <c r="K28" s="78">
        <f t="shared" si="12"/>
        <v>423.66861733333332</v>
      </c>
      <c r="L28" s="78">
        <f t="shared" si="12"/>
        <v>423.66861733333332</v>
      </c>
      <c r="M28" s="78">
        <f t="shared" si="12"/>
        <v>423.66861733333332</v>
      </c>
      <c r="N28" s="78">
        <f t="shared" si="12"/>
        <v>423.66861733333332</v>
      </c>
      <c r="O28" s="78">
        <f t="shared" si="12"/>
        <v>423.66861733333332</v>
      </c>
      <c r="P28" s="78">
        <f t="shared" si="12"/>
        <v>423.66861733333332</v>
      </c>
      <c r="Q28" s="78">
        <f t="shared" si="12"/>
        <v>423.66861733333332</v>
      </c>
      <c r="R28" s="78">
        <f t="shared" ref="R28:R29" si="13">ROUND(SUM(F28:Q28),5)</f>
        <v>5084.0234099999998</v>
      </c>
    </row>
    <row r="29" spans="1:18" s="79" customFormat="1" outlineLevel="4">
      <c r="A29" s="77"/>
      <c r="B29" s="77"/>
      <c r="C29" s="77"/>
      <c r="D29" s="77"/>
      <c r="E29" s="77" t="s">
        <v>252</v>
      </c>
      <c r="F29" s="78">
        <f>189*(14/12)</f>
        <v>220.5</v>
      </c>
      <c r="G29" s="78">
        <f>189*(14/12)</f>
        <v>220.5</v>
      </c>
      <c r="H29" s="78">
        <f t="shared" ref="H29:Q29" si="14">189*(14/12)</f>
        <v>220.5</v>
      </c>
      <c r="I29" s="78">
        <f t="shared" si="14"/>
        <v>220.5</v>
      </c>
      <c r="J29" s="78">
        <f t="shared" si="14"/>
        <v>220.5</v>
      </c>
      <c r="K29" s="78">
        <f t="shared" si="14"/>
        <v>220.5</v>
      </c>
      <c r="L29" s="78">
        <f t="shared" si="14"/>
        <v>220.5</v>
      </c>
      <c r="M29" s="78">
        <f t="shared" si="14"/>
        <v>220.5</v>
      </c>
      <c r="N29" s="78">
        <f t="shared" si="14"/>
        <v>220.5</v>
      </c>
      <c r="O29" s="78">
        <f t="shared" si="14"/>
        <v>220.5</v>
      </c>
      <c r="P29" s="78">
        <f t="shared" si="14"/>
        <v>220.5</v>
      </c>
      <c r="Q29" s="78">
        <f t="shared" si="14"/>
        <v>220.5</v>
      </c>
      <c r="R29" s="78">
        <f t="shared" si="13"/>
        <v>2646</v>
      </c>
    </row>
    <row r="30" spans="1:18" s="79" customFormat="1" outlineLevel="4">
      <c r="A30" s="77"/>
      <c r="B30" s="77"/>
      <c r="C30" s="77"/>
      <c r="D30" s="77"/>
      <c r="E30" s="77" t="s">
        <v>25</v>
      </c>
      <c r="F30" s="78">
        <v>500</v>
      </c>
      <c r="G30" s="78">
        <v>0</v>
      </c>
      <c r="H30" s="78">
        <v>500</v>
      </c>
      <c r="I30" s="78">
        <f>+H30</f>
        <v>500</v>
      </c>
      <c r="J30" s="78">
        <v>0</v>
      </c>
      <c r="K30" s="78">
        <v>7000</v>
      </c>
      <c r="L30" s="78">
        <v>0</v>
      </c>
      <c r="M30" s="78">
        <v>0</v>
      </c>
      <c r="N30" s="78">
        <v>1500</v>
      </c>
      <c r="O30" s="78">
        <v>0</v>
      </c>
      <c r="P30" s="78">
        <v>0</v>
      </c>
      <c r="Q30" s="78">
        <v>0</v>
      </c>
      <c r="R30" s="78">
        <f>ROUND(SUM(F30:Q30),5)</f>
        <v>10000</v>
      </c>
    </row>
    <row r="31" spans="1:18" s="79" customFormat="1" outlineLevel="4">
      <c r="A31" s="77"/>
      <c r="B31" s="77"/>
      <c r="C31" s="77"/>
      <c r="D31" s="77"/>
      <c r="E31" s="77" t="s">
        <v>94</v>
      </c>
      <c r="F31" s="78">
        <f>+F4</f>
        <v>0</v>
      </c>
      <c r="G31" s="78">
        <f t="shared" ref="G31:Q31" si="15">+G4</f>
        <v>0</v>
      </c>
      <c r="H31" s="78">
        <f t="shared" si="15"/>
        <v>1505</v>
      </c>
      <c r="I31" s="78">
        <f t="shared" si="15"/>
        <v>0</v>
      </c>
      <c r="J31" s="78">
        <f t="shared" si="15"/>
        <v>0</v>
      </c>
      <c r="K31" s="78">
        <f t="shared" si="15"/>
        <v>0</v>
      </c>
      <c r="L31" s="78">
        <f t="shared" si="15"/>
        <v>0</v>
      </c>
      <c r="M31" s="78">
        <f t="shared" si="15"/>
        <v>0</v>
      </c>
      <c r="N31" s="78">
        <f t="shared" si="15"/>
        <v>0</v>
      </c>
      <c r="O31" s="78">
        <f t="shared" si="15"/>
        <v>0</v>
      </c>
      <c r="P31" s="78">
        <f t="shared" si="15"/>
        <v>0</v>
      </c>
      <c r="Q31" s="78">
        <f t="shared" si="15"/>
        <v>0</v>
      </c>
      <c r="R31" s="78">
        <f>ROUND(SUM(F31:Q31),5)</f>
        <v>1505</v>
      </c>
    </row>
    <row r="32" spans="1:18" s="79" customFormat="1" ht="15" outlineLevel="4" thickBot="1">
      <c r="A32" s="77"/>
      <c r="B32" s="77"/>
      <c r="C32" s="77"/>
      <c r="D32" s="77"/>
      <c r="E32" s="77" t="s">
        <v>26</v>
      </c>
      <c r="F32" s="81">
        <v>75</v>
      </c>
      <c r="G32" s="81">
        <v>0</v>
      </c>
      <c r="H32" s="81">
        <v>0</v>
      </c>
      <c r="I32" s="81">
        <v>0</v>
      </c>
      <c r="J32" s="81">
        <v>0</v>
      </c>
      <c r="K32" s="81">
        <v>0</v>
      </c>
      <c r="L32" s="81">
        <v>0</v>
      </c>
      <c r="M32" s="81">
        <v>0</v>
      </c>
      <c r="N32" s="81">
        <v>0</v>
      </c>
      <c r="O32" s="81">
        <v>0</v>
      </c>
      <c r="P32" s="81">
        <v>0</v>
      </c>
      <c r="Q32" s="81">
        <v>0</v>
      </c>
      <c r="R32" s="81">
        <f>ROUND(SUM(F32:Q32),5)</f>
        <v>75</v>
      </c>
    </row>
    <row r="33" spans="1:18" s="79" customFormat="1" outlineLevel="3">
      <c r="A33" s="77"/>
      <c r="B33" s="77"/>
      <c r="C33" s="77"/>
      <c r="D33" s="77" t="s">
        <v>27</v>
      </c>
      <c r="E33" s="77"/>
      <c r="F33" s="78">
        <f t="shared" ref="F33:Q33" si="16">ROUND(SUM(F24:F32),5)</f>
        <v>49327.095269999998</v>
      </c>
      <c r="G33" s="78">
        <f t="shared" si="16"/>
        <v>48752.095269999998</v>
      </c>
      <c r="H33" s="78">
        <f t="shared" si="16"/>
        <v>50757.095269999998</v>
      </c>
      <c r="I33" s="78">
        <f t="shared" si="16"/>
        <v>49252.095269999998</v>
      </c>
      <c r="J33" s="78">
        <f t="shared" si="16"/>
        <v>48752.095269999998</v>
      </c>
      <c r="K33" s="78">
        <f t="shared" si="16"/>
        <v>55752.095269999998</v>
      </c>
      <c r="L33" s="78">
        <f t="shared" si="16"/>
        <v>48752.095269999998</v>
      </c>
      <c r="M33" s="78">
        <f t="shared" si="16"/>
        <v>48752.095269999998</v>
      </c>
      <c r="N33" s="78">
        <f t="shared" si="16"/>
        <v>50252.095269999998</v>
      </c>
      <c r="O33" s="78">
        <f t="shared" si="16"/>
        <v>48752.095269999998</v>
      </c>
      <c r="P33" s="78">
        <f t="shared" si="16"/>
        <v>48752.095269999998</v>
      </c>
      <c r="Q33" s="78">
        <f t="shared" si="16"/>
        <v>48752.095269999998</v>
      </c>
      <c r="R33" s="78">
        <f>ROUND(SUM(F33:Q33),5)</f>
        <v>596605.14324</v>
      </c>
    </row>
    <row r="34" spans="1:18" s="79" customFormat="1" outlineLevel="4">
      <c r="A34" s="77"/>
      <c r="B34" s="77"/>
      <c r="C34" s="77"/>
      <c r="D34" s="77" t="s">
        <v>28</v>
      </c>
      <c r="E34" s="77"/>
      <c r="F34" s="78"/>
      <c r="G34" s="78"/>
      <c r="H34" s="78"/>
      <c r="I34" s="78"/>
      <c r="J34" s="78"/>
      <c r="K34" s="78"/>
      <c r="L34" s="78"/>
      <c r="M34" s="78"/>
      <c r="N34" s="78"/>
      <c r="O34" s="78"/>
      <c r="P34" s="78"/>
      <c r="Q34" s="78"/>
      <c r="R34" s="78"/>
    </row>
    <row r="35" spans="1:18" s="79" customFormat="1" outlineLevel="4">
      <c r="A35" s="77"/>
      <c r="B35" s="77"/>
      <c r="C35" s="77"/>
      <c r="D35" s="77"/>
      <c r="E35" s="77" t="s">
        <v>29</v>
      </c>
      <c r="F35" s="78">
        <v>0</v>
      </c>
      <c r="G35" s="78"/>
      <c r="H35" s="78">
        <v>1000</v>
      </c>
      <c r="I35" s="78">
        <v>25000</v>
      </c>
      <c r="J35" s="78">
        <v>0</v>
      </c>
      <c r="K35" s="78"/>
      <c r="L35" s="78">
        <v>0</v>
      </c>
      <c r="M35" s="78">
        <v>1500</v>
      </c>
      <c r="N35" s="78">
        <v>1000</v>
      </c>
      <c r="O35" s="78">
        <v>500</v>
      </c>
      <c r="P35" s="78">
        <v>0</v>
      </c>
      <c r="Q35" s="78">
        <v>1000</v>
      </c>
      <c r="R35" s="78">
        <f>ROUND(SUM(F35:Q35),5)</f>
        <v>30000</v>
      </c>
    </row>
    <row r="36" spans="1:18" s="79" customFormat="1" ht="15" outlineLevel="4" thickBot="1">
      <c r="A36" s="77"/>
      <c r="B36" s="77"/>
      <c r="C36" s="77"/>
      <c r="D36" s="77"/>
      <c r="E36" s="77" t="s">
        <v>30</v>
      </c>
      <c r="F36" s="81">
        <v>0</v>
      </c>
      <c r="G36" s="81">
        <v>0</v>
      </c>
      <c r="H36" s="81">
        <v>0</v>
      </c>
      <c r="I36" s="81">
        <v>0</v>
      </c>
      <c r="J36" s="81">
        <v>0</v>
      </c>
      <c r="K36" s="81">
        <v>0</v>
      </c>
      <c r="L36" s="81">
        <v>0</v>
      </c>
      <c r="M36" s="81">
        <v>0</v>
      </c>
      <c r="N36" s="81">
        <v>0</v>
      </c>
      <c r="O36" s="81">
        <v>0</v>
      </c>
      <c r="P36" s="81">
        <v>0</v>
      </c>
      <c r="Q36" s="81">
        <v>0</v>
      </c>
      <c r="R36" s="81">
        <f>ROUND(SUM(F36:Q36),5)</f>
        <v>0</v>
      </c>
    </row>
    <row r="37" spans="1:18" s="79" customFormat="1" outlineLevel="3">
      <c r="A37" s="77"/>
      <c r="B37" s="77"/>
      <c r="C37" s="77"/>
      <c r="D37" s="77" t="s">
        <v>31</v>
      </c>
      <c r="E37" s="77"/>
      <c r="F37" s="78">
        <f t="shared" ref="F37:Q37" si="17">ROUND(SUM(F34:F36),5)</f>
        <v>0</v>
      </c>
      <c r="G37" s="78">
        <f t="shared" si="17"/>
        <v>0</v>
      </c>
      <c r="H37" s="78">
        <f t="shared" si="17"/>
        <v>1000</v>
      </c>
      <c r="I37" s="78">
        <f t="shared" si="17"/>
        <v>25000</v>
      </c>
      <c r="J37" s="78">
        <f t="shared" si="17"/>
        <v>0</v>
      </c>
      <c r="K37" s="78">
        <f t="shared" si="17"/>
        <v>0</v>
      </c>
      <c r="L37" s="78">
        <f t="shared" si="17"/>
        <v>0</v>
      </c>
      <c r="M37" s="78">
        <f t="shared" si="17"/>
        <v>1500</v>
      </c>
      <c r="N37" s="78">
        <f t="shared" si="17"/>
        <v>1000</v>
      </c>
      <c r="O37" s="78">
        <f t="shared" si="17"/>
        <v>500</v>
      </c>
      <c r="P37" s="78">
        <f t="shared" si="17"/>
        <v>0</v>
      </c>
      <c r="Q37" s="78">
        <f t="shared" si="17"/>
        <v>1000</v>
      </c>
      <c r="R37" s="78">
        <f>ROUND(SUM(F37:Q37),5)</f>
        <v>30000</v>
      </c>
    </row>
    <row r="38" spans="1:18" s="79" customFormat="1" outlineLevel="3">
      <c r="A38" s="77"/>
      <c r="B38" s="77"/>
      <c r="C38" s="77"/>
      <c r="D38" s="77" t="s">
        <v>32</v>
      </c>
      <c r="E38" s="77"/>
      <c r="F38" s="78">
        <v>100</v>
      </c>
      <c r="G38" s="78">
        <v>0</v>
      </c>
      <c r="H38" s="78">
        <v>0</v>
      </c>
      <c r="I38" s="78">
        <v>100</v>
      </c>
      <c r="J38" s="78">
        <v>0</v>
      </c>
      <c r="K38" s="78">
        <v>0</v>
      </c>
      <c r="L38" s="78">
        <v>100</v>
      </c>
      <c r="M38" s="78">
        <v>0</v>
      </c>
      <c r="N38" s="78">
        <v>0</v>
      </c>
      <c r="O38" s="78">
        <v>100</v>
      </c>
      <c r="P38" s="78">
        <v>0</v>
      </c>
      <c r="Q38" s="78">
        <v>0</v>
      </c>
      <c r="R38" s="78">
        <f>ROUND(SUM(F38:Q38),5)</f>
        <v>400</v>
      </c>
    </row>
    <row r="39" spans="1:18" s="79" customFormat="1" outlineLevel="4">
      <c r="A39" s="77"/>
      <c r="B39" s="77"/>
      <c r="C39" s="77"/>
      <c r="D39" s="77" t="s">
        <v>33</v>
      </c>
      <c r="E39" s="77"/>
      <c r="F39" s="78"/>
      <c r="G39" s="78"/>
      <c r="H39" s="78"/>
      <c r="I39" s="78"/>
      <c r="J39" s="78"/>
      <c r="K39" s="78"/>
      <c r="L39" s="78"/>
      <c r="M39" s="78"/>
      <c r="N39" s="78"/>
      <c r="O39" s="78"/>
      <c r="P39" s="78"/>
      <c r="Q39" s="78"/>
      <c r="R39" s="78"/>
    </row>
    <row r="40" spans="1:18" s="79" customFormat="1" ht="15" outlineLevel="4" thickBot="1">
      <c r="A40" s="77"/>
      <c r="B40" s="77"/>
      <c r="C40" s="77"/>
      <c r="D40" s="77"/>
      <c r="E40" s="77" t="s">
        <v>34</v>
      </c>
      <c r="F40" s="81">
        <v>0</v>
      </c>
      <c r="G40" s="81">
        <v>0</v>
      </c>
      <c r="H40" s="81">
        <v>150</v>
      </c>
      <c r="I40" s="81">
        <v>300</v>
      </c>
      <c r="J40" s="81">
        <v>0</v>
      </c>
      <c r="K40" s="81">
        <v>0</v>
      </c>
      <c r="L40" s="81">
        <v>0</v>
      </c>
      <c r="M40" s="81">
        <v>0</v>
      </c>
      <c r="N40" s="81">
        <v>150</v>
      </c>
      <c r="O40" s="81">
        <v>0</v>
      </c>
      <c r="P40" s="81">
        <v>0</v>
      </c>
      <c r="Q40" s="81">
        <v>0</v>
      </c>
      <c r="R40" s="81">
        <f>ROUND(SUM(F40:Q40),5)</f>
        <v>600</v>
      </c>
    </row>
    <row r="41" spans="1:18" s="79" customFormat="1" outlineLevel="3">
      <c r="A41" s="77"/>
      <c r="B41" s="77"/>
      <c r="C41" s="77"/>
      <c r="D41" s="77" t="s">
        <v>35</v>
      </c>
      <c r="E41" s="77"/>
      <c r="F41" s="78">
        <f t="shared" ref="F41:Q41" si="18">ROUND(SUM(F39:F40),5)</f>
        <v>0</v>
      </c>
      <c r="G41" s="78">
        <f t="shared" si="18"/>
        <v>0</v>
      </c>
      <c r="H41" s="78">
        <f t="shared" si="18"/>
        <v>150</v>
      </c>
      <c r="I41" s="78">
        <f t="shared" si="18"/>
        <v>300</v>
      </c>
      <c r="J41" s="78">
        <f t="shared" si="18"/>
        <v>0</v>
      </c>
      <c r="K41" s="78">
        <f t="shared" si="18"/>
        <v>0</v>
      </c>
      <c r="L41" s="78">
        <f t="shared" si="18"/>
        <v>0</v>
      </c>
      <c r="M41" s="78">
        <f t="shared" si="18"/>
        <v>0</v>
      </c>
      <c r="N41" s="78">
        <f t="shared" si="18"/>
        <v>150</v>
      </c>
      <c r="O41" s="78">
        <f t="shared" si="18"/>
        <v>0</v>
      </c>
      <c r="P41" s="78">
        <f t="shared" si="18"/>
        <v>0</v>
      </c>
      <c r="Q41" s="78">
        <f t="shared" si="18"/>
        <v>0</v>
      </c>
      <c r="R41" s="78">
        <f>ROUND(SUM(F41:Q41),5)</f>
        <v>600</v>
      </c>
    </row>
    <row r="42" spans="1:18" s="79" customFormat="1" outlineLevel="4">
      <c r="A42" s="77"/>
      <c r="B42" s="77"/>
      <c r="C42" s="77"/>
      <c r="D42" s="77" t="s">
        <v>36</v>
      </c>
      <c r="E42" s="77"/>
      <c r="F42" s="78"/>
      <c r="G42" s="78"/>
      <c r="H42" s="78"/>
      <c r="I42" s="78"/>
      <c r="J42" s="78"/>
      <c r="K42" s="78"/>
      <c r="L42" s="78"/>
      <c r="M42" s="78"/>
      <c r="N42" s="78"/>
      <c r="O42" s="78"/>
      <c r="P42" s="78"/>
      <c r="Q42" s="78"/>
      <c r="R42" s="78"/>
    </row>
    <row r="43" spans="1:18" s="79" customFormat="1" outlineLevel="4">
      <c r="A43" s="77"/>
      <c r="B43" s="77"/>
      <c r="C43" s="77"/>
      <c r="D43" s="77"/>
      <c r="E43" s="77" t="s">
        <v>37</v>
      </c>
      <c r="F43" s="78">
        <v>0</v>
      </c>
      <c r="G43" s="78">
        <v>0</v>
      </c>
      <c r="H43" s="78">
        <v>8250</v>
      </c>
      <c r="I43" s="78">
        <v>0</v>
      </c>
      <c r="J43" s="78">
        <v>0</v>
      </c>
      <c r="K43" s="78">
        <v>0</v>
      </c>
      <c r="L43" s="78">
        <v>0</v>
      </c>
      <c r="M43" s="78">
        <v>0</v>
      </c>
      <c r="N43" s="78">
        <v>0</v>
      </c>
      <c r="O43" s="78">
        <v>0</v>
      </c>
      <c r="P43" s="78">
        <v>0</v>
      </c>
      <c r="Q43" s="78">
        <v>0</v>
      </c>
      <c r="R43" s="78">
        <f>ROUND(SUM(F43:Q43),5)</f>
        <v>8250</v>
      </c>
    </row>
    <row r="44" spans="1:18" s="79" customFormat="1" ht="15" outlineLevel="4" thickBot="1">
      <c r="A44" s="77"/>
      <c r="B44" s="77"/>
      <c r="C44" s="77"/>
      <c r="D44" s="77"/>
      <c r="E44" s="77" t="s">
        <v>38</v>
      </c>
      <c r="F44" s="81">
        <v>0</v>
      </c>
      <c r="G44" s="81">
        <v>0</v>
      </c>
      <c r="H44" s="81">
        <v>0</v>
      </c>
      <c r="I44" s="81">
        <v>0</v>
      </c>
      <c r="J44" s="81">
        <v>0</v>
      </c>
      <c r="K44" s="81">
        <v>0</v>
      </c>
      <c r="L44" s="81">
        <v>0</v>
      </c>
      <c r="M44" s="81">
        <v>0</v>
      </c>
      <c r="N44" s="81">
        <v>0</v>
      </c>
      <c r="O44" s="81">
        <v>0</v>
      </c>
      <c r="P44" s="81">
        <v>0</v>
      </c>
      <c r="Q44" s="81">
        <v>65</v>
      </c>
      <c r="R44" s="81">
        <f>ROUND(SUM(F44:Q44),5)</f>
        <v>65</v>
      </c>
    </row>
    <row r="45" spans="1:18" s="79" customFormat="1" outlineLevel="3">
      <c r="A45" s="77"/>
      <c r="B45" s="77"/>
      <c r="C45" s="77"/>
      <c r="D45" s="77" t="s">
        <v>39</v>
      </c>
      <c r="E45" s="77"/>
      <c r="F45" s="78">
        <f t="shared" ref="F45:Q45" si="19">ROUND(SUM(F42:F44),5)</f>
        <v>0</v>
      </c>
      <c r="G45" s="78">
        <f t="shared" si="19"/>
        <v>0</v>
      </c>
      <c r="H45" s="78">
        <f t="shared" si="19"/>
        <v>8250</v>
      </c>
      <c r="I45" s="78">
        <f t="shared" si="19"/>
        <v>0</v>
      </c>
      <c r="J45" s="78">
        <f t="shared" si="19"/>
        <v>0</v>
      </c>
      <c r="K45" s="78">
        <f t="shared" si="19"/>
        <v>0</v>
      </c>
      <c r="L45" s="78">
        <f t="shared" si="19"/>
        <v>0</v>
      </c>
      <c r="M45" s="78">
        <f t="shared" si="19"/>
        <v>0</v>
      </c>
      <c r="N45" s="78">
        <f t="shared" si="19"/>
        <v>0</v>
      </c>
      <c r="O45" s="78">
        <f t="shared" si="19"/>
        <v>0</v>
      </c>
      <c r="P45" s="78">
        <f t="shared" si="19"/>
        <v>0</v>
      </c>
      <c r="Q45" s="78">
        <f t="shared" si="19"/>
        <v>65</v>
      </c>
      <c r="R45" s="78">
        <f>ROUND(SUM(F45:Q45),5)</f>
        <v>8315</v>
      </c>
    </row>
    <row r="46" spans="1:18" s="79" customFormat="1" outlineLevel="4">
      <c r="A46" s="77"/>
      <c r="B46" s="77"/>
      <c r="C46" s="77"/>
      <c r="D46" s="77" t="s">
        <v>40</v>
      </c>
      <c r="E46" s="77"/>
      <c r="F46" s="78"/>
      <c r="G46" s="78"/>
      <c r="H46" s="78"/>
      <c r="I46" s="78"/>
      <c r="J46" s="78"/>
      <c r="K46" s="78"/>
      <c r="L46" s="78"/>
      <c r="M46" s="78"/>
      <c r="N46" s="78"/>
      <c r="O46" s="78"/>
      <c r="P46" s="78"/>
      <c r="Q46" s="78"/>
      <c r="R46" s="78"/>
    </row>
    <row r="47" spans="1:18" s="79" customFormat="1" ht="15" outlineLevel="4" thickBot="1">
      <c r="A47" s="77"/>
      <c r="B47" s="77"/>
      <c r="C47" s="77"/>
      <c r="D47" s="77"/>
      <c r="E47" s="77" t="s">
        <v>41</v>
      </c>
      <c r="F47" s="81">
        <f>+F6*0.05</f>
        <v>3753.2166666666667</v>
      </c>
      <c r="G47" s="81">
        <f t="shared" ref="G47:Q47" si="20">+G6*0.05</f>
        <v>3753.2166666666667</v>
      </c>
      <c r="H47" s="81">
        <f t="shared" si="20"/>
        <v>3828.4666666666667</v>
      </c>
      <c r="I47" s="81">
        <f t="shared" si="20"/>
        <v>3753.2166666666667</v>
      </c>
      <c r="J47" s="81">
        <f t="shared" si="20"/>
        <v>3753.2166666666667</v>
      </c>
      <c r="K47" s="81">
        <f t="shared" si="20"/>
        <v>3753.2166666666667</v>
      </c>
      <c r="L47" s="81">
        <f t="shared" si="20"/>
        <v>3753.2166666666667</v>
      </c>
      <c r="M47" s="81">
        <f t="shared" si="20"/>
        <v>3753.2166666666667</v>
      </c>
      <c r="N47" s="81">
        <f t="shared" si="20"/>
        <v>3753.2166666666667</v>
      </c>
      <c r="O47" s="81">
        <f t="shared" si="20"/>
        <v>3753.2166666666667</v>
      </c>
      <c r="P47" s="81">
        <f t="shared" si="20"/>
        <v>3753.2166666666667</v>
      </c>
      <c r="Q47" s="81">
        <f t="shared" si="20"/>
        <v>3753.2166666666667</v>
      </c>
      <c r="R47" s="81">
        <f>ROUND(SUM(F47:Q47),5)</f>
        <v>45113.85</v>
      </c>
    </row>
    <row r="48" spans="1:18" s="79" customFormat="1" outlineLevel="3">
      <c r="A48" s="77"/>
      <c r="B48" s="77"/>
      <c r="C48" s="77"/>
      <c r="D48" s="77" t="s">
        <v>42</v>
      </c>
      <c r="E48" s="77"/>
      <c r="F48" s="78">
        <f t="shared" ref="F48:Q48" si="21">ROUND(SUM(F46:F47),5)</f>
        <v>3753.2166699999998</v>
      </c>
      <c r="G48" s="78">
        <f t="shared" si="21"/>
        <v>3753.2166699999998</v>
      </c>
      <c r="H48" s="78">
        <f t="shared" si="21"/>
        <v>3828.4666699999998</v>
      </c>
      <c r="I48" s="78">
        <f t="shared" si="21"/>
        <v>3753.2166699999998</v>
      </c>
      <c r="J48" s="78">
        <f t="shared" si="21"/>
        <v>3753.2166699999998</v>
      </c>
      <c r="K48" s="78">
        <f t="shared" si="21"/>
        <v>3753.2166699999998</v>
      </c>
      <c r="L48" s="78">
        <f t="shared" si="21"/>
        <v>3753.2166699999998</v>
      </c>
      <c r="M48" s="78">
        <f t="shared" si="21"/>
        <v>3753.2166699999998</v>
      </c>
      <c r="N48" s="78">
        <f t="shared" si="21"/>
        <v>3753.2166699999998</v>
      </c>
      <c r="O48" s="78">
        <f t="shared" si="21"/>
        <v>3753.2166699999998</v>
      </c>
      <c r="P48" s="78">
        <f t="shared" si="21"/>
        <v>3753.2166699999998</v>
      </c>
      <c r="Q48" s="78">
        <f t="shared" si="21"/>
        <v>3753.2166699999998</v>
      </c>
      <c r="R48" s="78">
        <f>ROUND(SUM(F48:Q48),5)</f>
        <v>45113.850039999998</v>
      </c>
    </row>
    <row r="49" spans="1:18" s="79" customFormat="1" outlineLevel="4">
      <c r="A49" s="77"/>
      <c r="B49" s="77"/>
      <c r="C49" s="77"/>
      <c r="D49" s="77" t="s">
        <v>43</v>
      </c>
      <c r="E49" s="77"/>
      <c r="F49" s="78"/>
      <c r="G49" s="78"/>
      <c r="H49" s="78"/>
      <c r="I49" s="78"/>
      <c r="J49" s="78"/>
      <c r="K49" s="78"/>
      <c r="L49" s="78"/>
      <c r="M49" s="78"/>
      <c r="N49" s="78"/>
      <c r="O49" s="78"/>
      <c r="P49" s="78"/>
      <c r="Q49" s="78"/>
      <c r="R49" s="78"/>
    </row>
    <row r="50" spans="1:18" s="79" customFormat="1" outlineLevel="4">
      <c r="A50" s="77"/>
      <c r="B50" s="77"/>
      <c r="C50" s="77"/>
      <c r="D50" s="77"/>
      <c r="E50" s="77" t="s">
        <v>44</v>
      </c>
      <c r="F50" s="78">
        <f>+Salaries!D23/12</f>
        <v>7083.333333333333</v>
      </c>
      <c r="G50" s="78">
        <f t="shared" ref="G50:Q50" si="22">+F50</f>
        <v>7083.333333333333</v>
      </c>
      <c r="H50" s="78">
        <f t="shared" si="22"/>
        <v>7083.333333333333</v>
      </c>
      <c r="I50" s="78">
        <f t="shared" si="22"/>
        <v>7083.333333333333</v>
      </c>
      <c r="J50" s="78">
        <f t="shared" si="22"/>
        <v>7083.333333333333</v>
      </c>
      <c r="K50" s="78">
        <f t="shared" si="22"/>
        <v>7083.333333333333</v>
      </c>
      <c r="L50" s="78">
        <f t="shared" si="22"/>
        <v>7083.333333333333</v>
      </c>
      <c r="M50" s="78">
        <f t="shared" si="22"/>
        <v>7083.333333333333</v>
      </c>
      <c r="N50" s="78">
        <f t="shared" si="22"/>
        <v>7083.333333333333</v>
      </c>
      <c r="O50" s="78">
        <f t="shared" si="22"/>
        <v>7083.333333333333</v>
      </c>
      <c r="P50" s="78">
        <f t="shared" si="22"/>
        <v>7083.333333333333</v>
      </c>
      <c r="Q50" s="78">
        <f t="shared" si="22"/>
        <v>7083.333333333333</v>
      </c>
      <c r="R50" s="78">
        <f>ROUND(SUM(F50:Q50),5)</f>
        <v>85000</v>
      </c>
    </row>
    <row r="51" spans="1:18" s="79" customFormat="1" outlineLevel="4">
      <c r="A51" s="77"/>
      <c r="B51" s="77"/>
      <c r="C51" s="77"/>
      <c r="D51" s="77"/>
      <c r="E51" s="77" t="s">
        <v>45</v>
      </c>
      <c r="F51" s="78">
        <v>0</v>
      </c>
      <c r="G51" s="78">
        <v>0</v>
      </c>
      <c r="H51" s="78">
        <v>0</v>
      </c>
      <c r="I51" s="78">
        <v>0</v>
      </c>
      <c r="J51" s="78">
        <v>0</v>
      </c>
      <c r="K51" s="78">
        <v>0</v>
      </c>
      <c r="L51" s="78">
        <v>0</v>
      </c>
      <c r="M51" s="78">
        <v>0</v>
      </c>
      <c r="N51" s="78">
        <v>0</v>
      </c>
      <c r="O51" s="78">
        <v>0</v>
      </c>
      <c r="P51" s="78">
        <v>0</v>
      </c>
      <c r="Q51" s="78">
        <v>0</v>
      </c>
      <c r="R51" s="78">
        <f>ROUND(SUM(F51:Q51),5)</f>
        <v>0</v>
      </c>
    </row>
    <row r="52" spans="1:18" s="79" customFormat="1" outlineLevel="4">
      <c r="A52" s="77"/>
      <c r="B52" s="77"/>
      <c r="C52" s="77"/>
      <c r="D52" s="77"/>
      <c r="E52" s="77" t="s">
        <v>46</v>
      </c>
      <c r="F52" s="78">
        <f>+F50*0.0765</f>
        <v>541.875</v>
      </c>
      <c r="G52" s="78">
        <f t="shared" ref="G52:Q52" si="23">+G50*0.0765</f>
        <v>541.875</v>
      </c>
      <c r="H52" s="78">
        <f t="shared" si="23"/>
        <v>541.875</v>
      </c>
      <c r="I52" s="78">
        <f t="shared" si="23"/>
        <v>541.875</v>
      </c>
      <c r="J52" s="78">
        <f t="shared" si="23"/>
        <v>541.875</v>
      </c>
      <c r="K52" s="78">
        <f t="shared" si="23"/>
        <v>541.875</v>
      </c>
      <c r="L52" s="78">
        <f t="shared" si="23"/>
        <v>541.875</v>
      </c>
      <c r="M52" s="78">
        <f t="shared" si="23"/>
        <v>541.875</v>
      </c>
      <c r="N52" s="78">
        <f t="shared" si="23"/>
        <v>541.875</v>
      </c>
      <c r="O52" s="78">
        <f t="shared" si="23"/>
        <v>541.875</v>
      </c>
      <c r="P52" s="78">
        <f t="shared" si="23"/>
        <v>541.875</v>
      </c>
      <c r="Q52" s="78">
        <f t="shared" si="23"/>
        <v>541.875</v>
      </c>
      <c r="R52" s="78">
        <f>ROUND(SUM(F52:Q52),5)</f>
        <v>6502.5</v>
      </c>
    </row>
    <row r="53" spans="1:18" s="79" customFormat="1" outlineLevel="4">
      <c r="A53" s="77"/>
      <c r="B53" s="77"/>
      <c r="C53" s="77"/>
      <c r="D53" s="77"/>
      <c r="E53" s="77" t="s">
        <v>254</v>
      </c>
      <c r="F53" s="78">
        <f>+F50*0.01</f>
        <v>70.833333333333329</v>
      </c>
      <c r="G53" s="78">
        <f t="shared" ref="G53:Q53" si="24">+G50*0.01</f>
        <v>70.833333333333329</v>
      </c>
      <c r="H53" s="78">
        <f t="shared" si="24"/>
        <v>70.833333333333329</v>
      </c>
      <c r="I53" s="78">
        <f t="shared" si="24"/>
        <v>70.833333333333329</v>
      </c>
      <c r="J53" s="78">
        <f t="shared" si="24"/>
        <v>70.833333333333329</v>
      </c>
      <c r="K53" s="78">
        <f t="shared" si="24"/>
        <v>70.833333333333329</v>
      </c>
      <c r="L53" s="78">
        <f t="shared" si="24"/>
        <v>70.833333333333329</v>
      </c>
      <c r="M53" s="78">
        <f t="shared" si="24"/>
        <v>70.833333333333329</v>
      </c>
      <c r="N53" s="78">
        <f t="shared" si="24"/>
        <v>70.833333333333329</v>
      </c>
      <c r="O53" s="78">
        <f t="shared" si="24"/>
        <v>70.833333333333329</v>
      </c>
      <c r="P53" s="78">
        <f t="shared" si="24"/>
        <v>70.833333333333329</v>
      </c>
      <c r="Q53" s="78">
        <f t="shared" si="24"/>
        <v>70.833333333333329</v>
      </c>
      <c r="R53" s="78">
        <f t="shared" ref="R53:R54" si="25">ROUND(SUM(F53:Q53),5)</f>
        <v>850</v>
      </c>
    </row>
    <row r="54" spans="1:18" s="79" customFormat="1" outlineLevel="4">
      <c r="A54" s="77"/>
      <c r="B54" s="77"/>
      <c r="C54" s="77"/>
      <c r="D54" s="77"/>
      <c r="E54" s="77" t="s">
        <v>255</v>
      </c>
      <c r="F54" s="78">
        <v>15.75</v>
      </c>
      <c r="G54" s="78">
        <v>15.75</v>
      </c>
      <c r="H54" s="78">
        <v>15.75</v>
      </c>
      <c r="I54" s="78">
        <v>15.75</v>
      </c>
      <c r="J54" s="78">
        <v>15.75</v>
      </c>
      <c r="K54" s="78">
        <v>15.75</v>
      </c>
      <c r="L54" s="78">
        <v>15.75</v>
      </c>
      <c r="M54" s="78">
        <v>15.75</v>
      </c>
      <c r="N54" s="78">
        <v>15.75</v>
      </c>
      <c r="O54" s="78">
        <v>15.75</v>
      </c>
      <c r="P54" s="78">
        <v>15.75</v>
      </c>
      <c r="Q54" s="78">
        <v>15.75</v>
      </c>
      <c r="R54" s="78">
        <f t="shared" si="25"/>
        <v>189</v>
      </c>
    </row>
    <row r="55" spans="1:18" s="79" customFormat="1" outlineLevel="4">
      <c r="A55" s="77"/>
      <c r="B55" s="77"/>
      <c r="C55" s="77"/>
      <c r="D55" s="77"/>
      <c r="E55" s="77" t="s">
        <v>47</v>
      </c>
      <c r="F55" s="78">
        <v>0</v>
      </c>
      <c r="G55" s="78">
        <v>0</v>
      </c>
      <c r="H55" s="78">
        <f t="shared" ref="H55:Q55" si="26">+G55</f>
        <v>0</v>
      </c>
      <c r="I55" s="78">
        <f t="shared" si="26"/>
        <v>0</v>
      </c>
      <c r="J55" s="78">
        <f t="shared" si="26"/>
        <v>0</v>
      </c>
      <c r="K55" s="78">
        <f t="shared" si="26"/>
        <v>0</v>
      </c>
      <c r="L55" s="78">
        <f t="shared" si="26"/>
        <v>0</v>
      </c>
      <c r="M55" s="78">
        <f t="shared" si="26"/>
        <v>0</v>
      </c>
      <c r="N55" s="78">
        <f t="shared" si="26"/>
        <v>0</v>
      </c>
      <c r="O55" s="78">
        <f t="shared" si="26"/>
        <v>0</v>
      </c>
      <c r="P55" s="78">
        <f t="shared" si="26"/>
        <v>0</v>
      </c>
      <c r="Q55" s="78">
        <f t="shared" si="26"/>
        <v>0</v>
      </c>
      <c r="R55" s="78">
        <f t="shared" ref="R55:R62" si="27">ROUND(SUM(F55:Q55),5)</f>
        <v>0</v>
      </c>
    </row>
    <row r="56" spans="1:18" s="79" customFormat="1" outlineLevel="4">
      <c r="A56" s="77"/>
      <c r="B56" s="77"/>
      <c r="C56" s="77"/>
      <c r="D56" s="77"/>
      <c r="E56" s="77" t="s">
        <v>48</v>
      </c>
      <c r="F56" s="78"/>
      <c r="G56" s="78"/>
      <c r="H56" s="78">
        <f t="shared" ref="H56:P56" si="28">+G56</f>
        <v>0</v>
      </c>
      <c r="I56" s="78">
        <f t="shared" si="28"/>
        <v>0</v>
      </c>
      <c r="J56" s="78">
        <f t="shared" si="28"/>
        <v>0</v>
      </c>
      <c r="K56" s="78">
        <f t="shared" si="28"/>
        <v>0</v>
      </c>
      <c r="L56" s="78">
        <f t="shared" si="28"/>
        <v>0</v>
      </c>
      <c r="M56" s="78">
        <f t="shared" si="28"/>
        <v>0</v>
      </c>
      <c r="N56" s="78">
        <f t="shared" si="28"/>
        <v>0</v>
      </c>
      <c r="O56" s="78">
        <f t="shared" si="28"/>
        <v>0</v>
      </c>
      <c r="P56" s="78">
        <f t="shared" si="28"/>
        <v>0</v>
      </c>
      <c r="Q56" s="78">
        <v>2000</v>
      </c>
      <c r="R56" s="78">
        <f t="shared" si="27"/>
        <v>2000</v>
      </c>
    </row>
    <row r="57" spans="1:18" s="79" customFormat="1" outlineLevel="4">
      <c r="A57" s="77"/>
      <c r="B57" s="77"/>
      <c r="C57" s="77"/>
      <c r="D57" s="77"/>
      <c r="E57" s="77" t="s">
        <v>265</v>
      </c>
      <c r="F57" s="78">
        <v>0</v>
      </c>
      <c r="G57" s="78">
        <v>0</v>
      </c>
      <c r="H57" s="78">
        <v>0</v>
      </c>
      <c r="I57" s="78">
        <v>0</v>
      </c>
      <c r="J57" s="78">
        <v>0</v>
      </c>
      <c r="K57" s="78">
        <v>0</v>
      </c>
      <c r="L57" s="78">
        <v>0</v>
      </c>
      <c r="M57" s="78">
        <v>0</v>
      </c>
      <c r="N57" s="78">
        <v>0</v>
      </c>
      <c r="O57" s="78">
        <v>0</v>
      </c>
      <c r="P57" s="78">
        <v>0</v>
      </c>
      <c r="Q57" s="78">
        <v>0</v>
      </c>
      <c r="R57" s="78">
        <f t="shared" si="27"/>
        <v>0</v>
      </c>
    </row>
    <row r="58" spans="1:18" s="79" customFormat="1" outlineLevel="4">
      <c r="A58" s="77"/>
      <c r="B58" s="77"/>
      <c r="C58" s="77"/>
      <c r="D58" s="77"/>
      <c r="E58" s="77" t="s">
        <v>49</v>
      </c>
      <c r="F58" s="78">
        <v>0</v>
      </c>
      <c r="G58" s="78">
        <v>0</v>
      </c>
      <c r="H58" s="78">
        <v>0</v>
      </c>
      <c r="I58" s="78">
        <v>0</v>
      </c>
      <c r="J58" s="78">
        <v>0</v>
      </c>
      <c r="K58" s="78">
        <v>0</v>
      </c>
      <c r="L58" s="78">
        <v>0</v>
      </c>
      <c r="M58" s="78">
        <v>36</v>
      </c>
      <c r="N58" s="78">
        <v>0</v>
      </c>
      <c r="O58" s="78">
        <v>0</v>
      </c>
      <c r="P58" s="78">
        <v>0</v>
      </c>
      <c r="Q58" s="78">
        <v>0</v>
      </c>
      <c r="R58" s="78">
        <f t="shared" si="27"/>
        <v>36</v>
      </c>
    </row>
    <row r="59" spans="1:18" s="79" customFormat="1" outlineLevel="4">
      <c r="A59" s="77"/>
      <c r="B59" s="77"/>
      <c r="C59" s="77"/>
      <c r="D59" s="77"/>
      <c r="E59" s="77" t="s">
        <v>50</v>
      </c>
      <c r="F59" s="78">
        <v>0</v>
      </c>
      <c r="G59" s="78">
        <v>0</v>
      </c>
      <c r="H59" s="78">
        <v>600</v>
      </c>
      <c r="I59" s="78">
        <v>0</v>
      </c>
      <c r="J59" s="78">
        <v>0</v>
      </c>
      <c r="K59" s="78">
        <v>0</v>
      </c>
      <c r="L59" s="78">
        <v>0</v>
      </c>
      <c r="M59" s="78">
        <v>0</v>
      </c>
      <c r="N59" s="78">
        <v>350</v>
      </c>
      <c r="O59" s="78">
        <v>100</v>
      </c>
      <c r="P59" s="78">
        <v>100</v>
      </c>
      <c r="Q59" s="78">
        <v>100</v>
      </c>
      <c r="R59" s="78">
        <f t="shared" si="27"/>
        <v>1250</v>
      </c>
    </row>
    <row r="60" spans="1:18" s="79" customFormat="1" outlineLevel="4">
      <c r="A60" s="77"/>
      <c r="B60" s="77"/>
      <c r="C60" s="77"/>
      <c r="D60" s="77"/>
      <c r="E60" s="77" t="s">
        <v>51</v>
      </c>
      <c r="F60" s="78">
        <v>0</v>
      </c>
      <c r="G60" s="78">
        <v>100</v>
      </c>
      <c r="H60" s="78">
        <v>500</v>
      </c>
      <c r="I60" s="78">
        <v>0</v>
      </c>
      <c r="J60" s="78">
        <v>0</v>
      </c>
      <c r="K60" s="78">
        <v>0</v>
      </c>
      <c r="L60" s="78">
        <v>0</v>
      </c>
      <c r="M60" s="78">
        <v>0</v>
      </c>
      <c r="N60" s="78">
        <v>1500</v>
      </c>
      <c r="O60" s="78">
        <v>500</v>
      </c>
      <c r="P60" s="78">
        <v>500</v>
      </c>
      <c r="Q60" s="78">
        <v>2000</v>
      </c>
      <c r="R60" s="78">
        <f t="shared" si="27"/>
        <v>5100</v>
      </c>
    </row>
    <row r="61" spans="1:18" s="79" customFormat="1" ht="15" outlineLevel="4" thickBot="1">
      <c r="A61" s="77"/>
      <c r="B61" s="77"/>
      <c r="C61" s="77"/>
      <c r="D61" s="77"/>
      <c r="E61" s="77" t="s">
        <v>52</v>
      </c>
      <c r="F61" s="81">
        <v>0</v>
      </c>
      <c r="G61" s="81">
        <v>4000</v>
      </c>
      <c r="H61" s="81">
        <v>0</v>
      </c>
      <c r="I61" s="81">
        <v>0</v>
      </c>
      <c r="J61" s="81">
        <v>0</v>
      </c>
      <c r="K61" s="81">
        <v>0</v>
      </c>
      <c r="L61" s="81">
        <v>0</v>
      </c>
      <c r="M61" s="81">
        <v>0</v>
      </c>
      <c r="N61" s="81">
        <v>0</v>
      </c>
      <c r="O61" s="81">
        <v>0</v>
      </c>
      <c r="P61" s="81">
        <v>0</v>
      </c>
      <c r="Q61" s="81">
        <v>0</v>
      </c>
      <c r="R61" s="81">
        <f t="shared" si="27"/>
        <v>4000</v>
      </c>
    </row>
    <row r="62" spans="1:18" s="79" customFormat="1" outlineLevel="3">
      <c r="A62" s="77"/>
      <c r="B62" s="77"/>
      <c r="C62" s="77"/>
      <c r="D62" s="77" t="s">
        <v>53</v>
      </c>
      <c r="E62" s="77"/>
      <c r="F62" s="78">
        <f t="shared" ref="F62:Q62" si="29">ROUND(SUM(F49:F61),5)</f>
        <v>7711.7916699999996</v>
      </c>
      <c r="G62" s="78">
        <f t="shared" si="29"/>
        <v>11811.791670000001</v>
      </c>
      <c r="H62" s="78">
        <f t="shared" si="29"/>
        <v>8811.7916700000005</v>
      </c>
      <c r="I62" s="78">
        <f t="shared" si="29"/>
        <v>7711.7916699999996</v>
      </c>
      <c r="J62" s="78">
        <f t="shared" si="29"/>
        <v>7711.7916699999996</v>
      </c>
      <c r="K62" s="78">
        <f t="shared" si="29"/>
        <v>7711.7916699999996</v>
      </c>
      <c r="L62" s="78">
        <f t="shared" si="29"/>
        <v>7711.7916699999996</v>
      </c>
      <c r="M62" s="78">
        <f t="shared" si="29"/>
        <v>7747.7916699999996</v>
      </c>
      <c r="N62" s="78">
        <f t="shared" si="29"/>
        <v>9561.7916700000005</v>
      </c>
      <c r="O62" s="78">
        <f t="shared" si="29"/>
        <v>8311.7916700000005</v>
      </c>
      <c r="P62" s="78">
        <f t="shared" si="29"/>
        <v>8311.7916700000005</v>
      </c>
      <c r="Q62" s="78">
        <f t="shared" si="29"/>
        <v>11811.791670000001</v>
      </c>
      <c r="R62" s="78">
        <f t="shared" si="27"/>
        <v>104927.50004</v>
      </c>
    </row>
    <row r="63" spans="1:18" s="79" customFormat="1" outlineLevel="4">
      <c r="A63" s="77"/>
      <c r="B63" s="77"/>
      <c r="C63" s="77"/>
      <c r="D63" s="77" t="s">
        <v>54</v>
      </c>
      <c r="E63" s="77"/>
      <c r="F63" s="78"/>
      <c r="G63" s="78"/>
      <c r="H63" s="78"/>
      <c r="I63" s="78"/>
      <c r="J63" s="78"/>
      <c r="K63" s="78"/>
      <c r="L63" s="78"/>
      <c r="M63" s="78"/>
      <c r="N63" s="78"/>
      <c r="O63" s="78"/>
      <c r="P63" s="78"/>
      <c r="Q63" s="78"/>
      <c r="R63" s="78"/>
    </row>
    <row r="64" spans="1:18" s="79" customFormat="1" ht="15" outlineLevel="4" thickBot="1">
      <c r="A64" s="77"/>
      <c r="B64" s="77"/>
      <c r="C64" s="77"/>
      <c r="D64" s="77"/>
      <c r="E64" s="77" t="s">
        <v>55</v>
      </c>
      <c r="F64" s="81">
        <f>+FEFP!$C$27*(125/12)</f>
        <v>1250</v>
      </c>
      <c r="G64" s="81">
        <f>+FEFP!$C$27*(125/12)</f>
        <v>1250</v>
      </c>
      <c r="H64" s="81">
        <f>+FEFP!$C$27*(125/12)</f>
        <v>1250</v>
      </c>
      <c r="I64" s="81">
        <f>+FEFP!$C$27*(125/12)</f>
        <v>1250</v>
      </c>
      <c r="J64" s="81">
        <f>+FEFP!$C$27*(125/12)</f>
        <v>1250</v>
      </c>
      <c r="K64" s="81">
        <f>+FEFP!$C$27*(125/12)</f>
        <v>1250</v>
      </c>
      <c r="L64" s="81">
        <f>+FEFP!$C$27*(125/12)</f>
        <v>1250</v>
      </c>
      <c r="M64" s="81">
        <f>+FEFP!$C$27*(125/12)</f>
        <v>1250</v>
      </c>
      <c r="N64" s="81">
        <f>+FEFP!$C$27*(125/12)</f>
        <v>1250</v>
      </c>
      <c r="O64" s="81">
        <f>+FEFP!$C$27*(125/12)</f>
        <v>1250</v>
      </c>
      <c r="P64" s="81">
        <f>+FEFP!$C$27*(125/12)</f>
        <v>1250</v>
      </c>
      <c r="Q64" s="81">
        <f>+FEFP!$C$27*(125/12)</f>
        <v>1250</v>
      </c>
      <c r="R64" s="81">
        <f>ROUND(SUM(F64:Q64),5)</f>
        <v>15000</v>
      </c>
    </row>
    <row r="65" spans="1:18" s="79" customFormat="1" outlineLevel="3">
      <c r="A65" s="77"/>
      <c r="B65" s="77"/>
      <c r="C65" s="77"/>
      <c r="D65" s="77" t="s">
        <v>56</v>
      </c>
      <c r="E65" s="77"/>
      <c r="F65" s="78">
        <f t="shared" ref="F65:Q65" si="30">ROUND(SUM(F63:F64),5)</f>
        <v>1250</v>
      </c>
      <c r="G65" s="78">
        <f t="shared" si="30"/>
        <v>1250</v>
      </c>
      <c r="H65" s="78">
        <f t="shared" si="30"/>
        <v>1250</v>
      </c>
      <c r="I65" s="78">
        <f t="shared" si="30"/>
        <v>1250</v>
      </c>
      <c r="J65" s="78">
        <f t="shared" si="30"/>
        <v>1250</v>
      </c>
      <c r="K65" s="78">
        <f t="shared" si="30"/>
        <v>1250</v>
      </c>
      <c r="L65" s="78">
        <f t="shared" si="30"/>
        <v>1250</v>
      </c>
      <c r="M65" s="78">
        <f t="shared" si="30"/>
        <v>1250</v>
      </c>
      <c r="N65" s="78">
        <f t="shared" si="30"/>
        <v>1250</v>
      </c>
      <c r="O65" s="78">
        <f t="shared" si="30"/>
        <v>1250</v>
      </c>
      <c r="P65" s="78">
        <f t="shared" si="30"/>
        <v>1250</v>
      </c>
      <c r="Q65" s="78">
        <f t="shared" si="30"/>
        <v>1250</v>
      </c>
      <c r="R65" s="78">
        <f>ROUND(SUM(F65:Q65),5)</f>
        <v>15000</v>
      </c>
    </row>
    <row r="66" spans="1:18" s="79" customFormat="1" outlineLevel="4">
      <c r="A66" s="77"/>
      <c r="B66" s="77"/>
      <c r="C66" s="77"/>
      <c r="D66" s="77" t="s">
        <v>57</v>
      </c>
      <c r="E66" s="77"/>
      <c r="F66" s="78"/>
      <c r="G66" s="78"/>
      <c r="H66" s="78"/>
      <c r="I66" s="78"/>
      <c r="J66" s="78"/>
      <c r="K66" s="78"/>
      <c r="L66" s="78"/>
      <c r="M66" s="78"/>
      <c r="N66" s="78"/>
      <c r="O66" s="78"/>
      <c r="P66" s="78"/>
      <c r="Q66" s="78"/>
      <c r="R66" s="78"/>
    </row>
    <row r="67" spans="1:18" s="79" customFormat="1" outlineLevel="4">
      <c r="A67" s="77"/>
      <c r="B67" s="77"/>
      <c r="C67" s="77"/>
      <c r="D67" s="77"/>
      <c r="E67" s="77" t="s">
        <v>58</v>
      </c>
      <c r="F67" s="78">
        <v>4000</v>
      </c>
      <c r="G67" s="78">
        <v>4000</v>
      </c>
      <c r="H67" s="78">
        <v>4000</v>
      </c>
      <c r="I67" s="78">
        <v>4000</v>
      </c>
      <c r="J67" s="78">
        <v>4000</v>
      </c>
      <c r="K67" s="78">
        <v>4000</v>
      </c>
      <c r="L67" s="78">
        <v>4000</v>
      </c>
      <c r="M67" s="78">
        <v>4000</v>
      </c>
      <c r="N67" s="78">
        <v>4000</v>
      </c>
      <c r="O67" s="78">
        <v>4000</v>
      </c>
      <c r="P67" s="78">
        <v>4000</v>
      </c>
      <c r="Q67" s="78">
        <v>4000</v>
      </c>
      <c r="R67" s="78">
        <f t="shared" ref="R67:R78" si="31">ROUND(SUM(F67:Q67),5)</f>
        <v>48000</v>
      </c>
    </row>
    <row r="68" spans="1:18" s="79" customFormat="1" outlineLevel="4">
      <c r="A68" s="77"/>
      <c r="B68" s="77"/>
      <c r="C68" s="77"/>
      <c r="D68" s="77"/>
      <c r="E68" s="77" t="s">
        <v>59</v>
      </c>
      <c r="F68" s="78">
        <v>2500</v>
      </c>
      <c r="G68" s="78">
        <f t="shared" ref="G68:Q68" si="32">+F68</f>
        <v>2500</v>
      </c>
      <c r="H68" s="78">
        <f t="shared" si="32"/>
        <v>2500</v>
      </c>
      <c r="I68" s="78">
        <f t="shared" si="32"/>
        <v>2500</v>
      </c>
      <c r="J68" s="78">
        <f t="shared" si="32"/>
        <v>2500</v>
      </c>
      <c r="K68" s="78">
        <f t="shared" si="32"/>
        <v>2500</v>
      </c>
      <c r="L68" s="78">
        <f t="shared" si="32"/>
        <v>2500</v>
      </c>
      <c r="M68" s="78">
        <f t="shared" si="32"/>
        <v>2500</v>
      </c>
      <c r="N68" s="78">
        <f t="shared" si="32"/>
        <v>2500</v>
      </c>
      <c r="O68" s="78">
        <f t="shared" si="32"/>
        <v>2500</v>
      </c>
      <c r="P68" s="78">
        <f t="shared" si="32"/>
        <v>2500</v>
      </c>
      <c r="Q68" s="78">
        <f t="shared" si="32"/>
        <v>2500</v>
      </c>
      <c r="R68" s="78">
        <f t="shared" si="31"/>
        <v>30000</v>
      </c>
    </row>
    <row r="69" spans="1:18" s="79" customFormat="1" outlineLevel="4">
      <c r="A69" s="77"/>
      <c r="B69" s="77"/>
      <c r="C69" s="77"/>
      <c r="D69" s="77"/>
      <c r="E69" s="77" t="s">
        <v>60</v>
      </c>
      <c r="F69" s="78">
        <v>10000</v>
      </c>
      <c r="G69" s="78">
        <f t="shared" ref="G69:Q69" si="33">+F69</f>
        <v>10000</v>
      </c>
      <c r="H69" s="78">
        <f t="shared" si="33"/>
        <v>10000</v>
      </c>
      <c r="I69" s="78">
        <f t="shared" si="33"/>
        <v>10000</v>
      </c>
      <c r="J69" s="78">
        <f t="shared" si="33"/>
        <v>10000</v>
      </c>
      <c r="K69" s="78">
        <f t="shared" si="33"/>
        <v>10000</v>
      </c>
      <c r="L69" s="78">
        <f t="shared" si="33"/>
        <v>10000</v>
      </c>
      <c r="M69" s="78">
        <f t="shared" si="33"/>
        <v>10000</v>
      </c>
      <c r="N69" s="78">
        <f t="shared" si="33"/>
        <v>10000</v>
      </c>
      <c r="O69" s="78">
        <f t="shared" si="33"/>
        <v>10000</v>
      </c>
      <c r="P69" s="78">
        <f t="shared" si="33"/>
        <v>10000</v>
      </c>
      <c r="Q69" s="78">
        <f t="shared" si="33"/>
        <v>10000</v>
      </c>
      <c r="R69" s="78">
        <f t="shared" si="31"/>
        <v>120000</v>
      </c>
    </row>
    <row r="70" spans="1:18" s="79" customFormat="1" outlineLevel="4">
      <c r="A70" s="77"/>
      <c r="B70" s="77"/>
      <c r="C70" s="77"/>
      <c r="D70" s="77"/>
      <c r="E70" s="77" t="s">
        <v>61</v>
      </c>
      <c r="F70" s="78">
        <v>200</v>
      </c>
      <c r="G70" s="78">
        <f t="shared" ref="G70:Q70" si="34">+F70</f>
        <v>200</v>
      </c>
      <c r="H70" s="78">
        <f t="shared" si="34"/>
        <v>200</v>
      </c>
      <c r="I70" s="78">
        <f t="shared" si="34"/>
        <v>200</v>
      </c>
      <c r="J70" s="78">
        <f t="shared" si="34"/>
        <v>200</v>
      </c>
      <c r="K70" s="78">
        <f t="shared" si="34"/>
        <v>200</v>
      </c>
      <c r="L70" s="78">
        <f t="shared" si="34"/>
        <v>200</v>
      </c>
      <c r="M70" s="78">
        <f t="shared" si="34"/>
        <v>200</v>
      </c>
      <c r="N70" s="78">
        <f t="shared" si="34"/>
        <v>200</v>
      </c>
      <c r="O70" s="78">
        <f t="shared" si="34"/>
        <v>200</v>
      </c>
      <c r="P70" s="78">
        <f t="shared" si="34"/>
        <v>200</v>
      </c>
      <c r="Q70" s="78">
        <f t="shared" si="34"/>
        <v>200</v>
      </c>
      <c r="R70" s="78">
        <f t="shared" si="31"/>
        <v>2400</v>
      </c>
    </row>
    <row r="71" spans="1:18" s="79" customFormat="1" outlineLevel="4">
      <c r="A71" s="77"/>
      <c r="B71" s="77"/>
      <c r="C71" s="77"/>
      <c r="D71" s="77"/>
      <c r="E71" s="77" t="s">
        <v>62</v>
      </c>
      <c r="F71" s="78">
        <v>0</v>
      </c>
      <c r="G71" s="78">
        <v>0</v>
      </c>
      <c r="H71" s="78">
        <v>0</v>
      </c>
      <c r="I71" s="78">
        <v>0</v>
      </c>
      <c r="J71" s="78">
        <v>0</v>
      </c>
      <c r="K71" s="78">
        <v>0</v>
      </c>
      <c r="L71" s="78">
        <v>0</v>
      </c>
      <c r="M71" s="78">
        <v>0</v>
      </c>
      <c r="N71" s="78">
        <v>0</v>
      </c>
      <c r="O71" s="78">
        <v>0</v>
      </c>
      <c r="P71" s="78">
        <v>0</v>
      </c>
      <c r="Q71" s="78">
        <v>0</v>
      </c>
      <c r="R71" s="78">
        <f t="shared" si="31"/>
        <v>0</v>
      </c>
    </row>
    <row r="72" spans="1:18" s="79" customFormat="1" outlineLevel="4">
      <c r="A72" s="77"/>
      <c r="B72" s="77"/>
      <c r="C72" s="77"/>
      <c r="D72" s="77"/>
      <c r="E72" s="77" t="s">
        <v>63</v>
      </c>
      <c r="F72" s="78">
        <v>3000</v>
      </c>
      <c r="G72" s="78">
        <f t="shared" ref="G72:Q72" si="35">+F72</f>
        <v>3000</v>
      </c>
      <c r="H72" s="78">
        <f t="shared" si="35"/>
        <v>3000</v>
      </c>
      <c r="I72" s="78">
        <f t="shared" si="35"/>
        <v>3000</v>
      </c>
      <c r="J72" s="78">
        <f t="shared" si="35"/>
        <v>3000</v>
      </c>
      <c r="K72" s="78">
        <f t="shared" si="35"/>
        <v>3000</v>
      </c>
      <c r="L72" s="78">
        <f t="shared" si="35"/>
        <v>3000</v>
      </c>
      <c r="M72" s="78">
        <f t="shared" si="35"/>
        <v>3000</v>
      </c>
      <c r="N72" s="78">
        <f t="shared" si="35"/>
        <v>3000</v>
      </c>
      <c r="O72" s="78">
        <f t="shared" si="35"/>
        <v>3000</v>
      </c>
      <c r="P72" s="78">
        <f t="shared" si="35"/>
        <v>3000</v>
      </c>
      <c r="Q72" s="78">
        <f t="shared" si="35"/>
        <v>3000</v>
      </c>
      <c r="R72" s="78">
        <f t="shared" si="31"/>
        <v>36000</v>
      </c>
    </row>
    <row r="73" spans="1:18" s="79" customFormat="1" outlineLevel="4">
      <c r="A73" s="77"/>
      <c r="B73" s="77"/>
      <c r="C73" s="77"/>
      <c r="D73" s="77"/>
      <c r="E73" s="77" t="s">
        <v>64</v>
      </c>
      <c r="F73" s="78">
        <v>0</v>
      </c>
      <c r="G73" s="78">
        <v>4500</v>
      </c>
      <c r="H73" s="78">
        <f t="shared" ref="H73:P73" si="36">+G73</f>
        <v>4500</v>
      </c>
      <c r="I73" s="78">
        <f t="shared" si="36"/>
        <v>4500</v>
      </c>
      <c r="J73" s="78">
        <f t="shared" si="36"/>
        <v>4500</v>
      </c>
      <c r="K73" s="78">
        <f t="shared" si="36"/>
        <v>4500</v>
      </c>
      <c r="L73" s="78">
        <f t="shared" si="36"/>
        <v>4500</v>
      </c>
      <c r="M73" s="78">
        <f t="shared" si="36"/>
        <v>4500</v>
      </c>
      <c r="N73" s="78">
        <f t="shared" si="36"/>
        <v>4500</v>
      </c>
      <c r="O73" s="78">
        <f t="shared" si="36"/>
        <v>4500</v>
      </c>
      <c r="P73" s="78">
        <f t="shared" si="36"/>
        <v>4500</v>
      </c>
      <c r="Q73" s="78">
        <v>0</v>
      </c>
      <c r="R73" s="78">
        <f t="shared" si="31"/>
        <v>45000</v>
      </c>
    </row>
    <row r="74" spans="1:18" s="79" customFormat="1" outlineLevel="4">
      <c r="A74" s="77"/>
      <c r="B74" s="77"/>
      <c r="C74" s="77"/>
      <c r="D74" s="77"/>
      <c r="E74" s="77" t="s">
        <v>65</v>
      </c>
      <c r="F74" s="78">
        <v>800</v>
      </c>
      <c r="G74" s="78">
        <v>800</v>
      </c>
      <c r="H74" s="78">
        <v>800</v>
      </c>
      <c r="I74" s="78">
        <v>800</v>
      </c>
      <c r="J74" s="78">
        <v>800</v>
      </c>
      <c r="K74" s="78">
        <v>800</v>
      </c>
      <c r="L74" s="78">
        <v>800</v>
      </c>
      <c r="M74" s="78">
        <v>800</v>
      </c>
      <c r="N74" s="78">
        <v>800</v>
      </c>
      <c r="O74" s="78">
        <v>800</v>
      </c>
      <c r="P74" s="78">
        <v>800</v>
      </c>
      <c r="Q74" s="78">
        <v>800</v>
      </c>
      <c r="R74" s="78">
        <f t="shared" si="31"/>
        <v>9600</v>
      </c>
    </row>
    <row r="75" spans="1:18" s="79" customFormat="1" outlineLevel="4">
      <c r="A75" s="77"/>
      <c r="B75" s="77"/>
      <c r="C75" s="77"/>
      <c r="D75" s="77"/>
      <c r="E75" s="77" t="s">
        <v>66</v>
      </c>
      <c r="F75" s="78">
        <v>0</v>
      </c>
      <c r="G75" s="78">
        <v>0</v>
      </c>
      <c r="H75" s="78">
        <v>1000</v>
      </c>
      <c r="I75" s="78">
        <v>500</v>
      </c>
      <c r="J75" s="78">
        <v>0</v>
      </c>
      <c r="K75" s="78">
        <v>0</v>
      </c>
      <c r="L75" s="78">
        <v>0</v>
      </c>
      <c r="M75" s="78">
        <v>0</v>
      </c>
      <c r="N75" s="78">
        <v>12.14</v>
      </c>
      <c r="O75" s="78">
        <v>0</v>
      </c>
      <c r="P75" s="78">
        <v>0</v>
      </c>
      <c r="Q75" s="78">
        <v>0</v>
      </c>
      <c r="R75" s="78">
        <f t="shared" si="31"/>
        <v>1512.14</v>
      </c>
    </row>
    <row r="76" spans="1:18" s="79" customFormat="1" outlineLevel="4">
      <c r="A76" s="77"/>
      <c r="B76" s="77"/>
      <c r="C76" s="77"/>
      <c r="D76" s="77"/>
      <c r="E76" s="77" t="s">
        <v>67</v>
      </c>
      <c r="F76" s="78">
        <v>0</v>
      </c>
      <c r="G76" s="78">
        <v>0</v>
      </c>
      <c r="H76" s="78">
        <v>250</v>
      </c>
      <c r="I76" s="78">
        <v>0</v>
      </c>
      <c r="J76" s="78">
        <v>50</v>
      </c>
      <c r="K76" s="78">
        <v>50</v>
      </c>
      <c r="L76" s="78">
        <v>50</v>
      </c>
      <c r="M76" s="78">
        <v>50</v>
      </c>
      <c r="N76" s="78">
        <v>50</v>
      </c>
      <c r="O76" s="78">
        <v>50</v>
      </c>
      <c r="P76" s="78">
        <v>50</v>
      </c>
      <c r="Q76" s="78">
        <v>50</v>
      </c>
      <c r="R76" s="78">
        <f t="shared" si="31"/>
        <v>650</v>
      </c>
    </row>
    <row r="77" spans="1:18" s="79" customFormat="1" ht="15" outlineLevel="4" thickBot="1">
      <c r="A77" s="77"/>
      <c r="B77" s="77"/>
      <c r="C77" s="77"/>
      <c r="D77" s="77"/>
      <c r="E77" s="77" t="s">
        <v>68</v>
      </c>
      <c r="F77" s="81">
        <v>0</v>
      </c>
      <c r="G77" s="81">
        <v>0</v>
      </c>
      <c r="H77" s="81">
        <v>0</v>
      </c>
      <c r="I77" s="81">
        <v>0</v>
      </c>
      <c r="J77" s="81">
        <v>0</v>
      </c>
      <c r="K77" s="81">
        <v>0</v>
      </c>
      <c r="L77" s="81">
        <v>0</v>
      </c>
      <c r="M77" s="81">
        <v>0</v>
      </c>
      <c r="N77" s="81">
        <v>0</v>
      </c>
      <c r="O77" s="81">
        <v>0</v>
      </c>
      <c r="P77" s="81">
        <v>0</v>
      </c>
      <c r="Q77" s="81">
        <v>0</v>
      </c>
      <c r="R77" s="81">
        <f t="shared" si="31"/>
        <v>0</v>
      </c>
    </row>
    <row r="78" spans="1:18" s="79" customFormat="1" outlineLevel="3">
      <c r="A78" s="77"/>
      <c r="B78" s="77"/>
      <c r="C78" s="77"/>
      <c r="D78" s="77" t="s">
        <v>69</v>
      </c>
      <c r="E78" s="77"/>
      <c r="F78" s="78">
        <f t="shared" ref="F78:Q78" si="37">ROUND(SUM(F66:F77),5)</f>
        <v>20500</v>
      </c>
      <c r="G78" s="78">
        <f t="shared" si="37"/>
        <v>25000</v>
      </c>
      <c r="H78" s="78">
        <f t="shared" si="37"/>
        <v>26250</v>
      </c>
      <c r="I78" s="78">
        <f t="shared" si="37"/>
        <v>25500</v>
      </c>
      <c r="J78" s="78">
        <f t="shared" si="37"/>
        <v>25050</v>
      </c>
      <c r="K78" s="78">
        <f t="shared" si="37"/>
        <v>25050</v>
      </c>
      <c r="L78" s="78">
        <f t="shared" si="37"/>
        <v>25050</v>
      </c>
      <c r="M78" s="78">
        <f t="shared" si="37"/>
        <v>25050</v>
      </c>
      <c r="N78" s="78">
        <f t="shared" si="37"/>
        <v>25062.14</v>
      </c>
      <c r="O78" s="78">
        <f t="shared" si="37"/>
        <v>25050</v>
      </c>
      <c r="P78" s="78">
        <f t="shared" si="37"/>
        <v>25050</v>
      </c>
      <c r="Q78" s="78">
        <f t="shared" si="37"/>
        <v>20550</v>
      </c>
      <c r="R78" s="78">
        <f t="shared" si="31"/>
        <v>293162.14</v>
      </c>
    </row>
    <row r="79" spans="1:18" s="79" customFormat="1" outlineLevel="4">
      <c r="A79" s="77"/>
      <c r="B79" s="77"/>
      <c r="C79" s="77"/>
      <c r="D79" s="77" t="s">
        <v>70</v>
      </c>
      <c r="E79" s="77"/>
      <c r="F79" s="78"/>
      <c r="G79" s="78"/>
      <c r="H79" s="78"/>
      <c r="I79" s="78"/>
      <c r="J79" s="78"/>
      <c r="K79" s="78"/>
      <c r="L79" s="78"/>
      <c r="M79" s="78"/>
      <c r="N79" s="78"/>
      <c r="O79" s="78"/>
      <c r="P79" s="78"/>
      <c r="Q79" s="78"/>
      <c r="R79" s="78"/>
    </row>
    <row r="80" spans="1:18" s="79" customFormat="1" outlineLevel="4">
      <c r="A80" s="77"/>
      <c r="B80" s="77"/>
      <c r="C80" s="77"/>
      <c r="D80" s="77"/>
      <c r="E80" s="77" t="s">
        <v>71</v>
      </c>
      <c r="F80" s="78">
        <v>500</v>
      </c>
      <c r="G80" s="78">
        <v>1000</v>
      </c>
      <c r="H80" s="78">
        <v>500</v>
      </c>
      <c r="I80" s="78">
        <v>0</v>
      </c>
      <c r="J80" s="78">
        <v>0</v>
      </c>
      <c r="K80" s="78">
        <v>0</v>
      </c>
      <c r="L80" s="78">
        <v>0</v>
      </c>
      <c r="M80" s="78">
        <v>250</v>
      </c>
      <c r="N80" s="78">
        <v>0</v>
      </c>
      <c r="O80" s="78">
        <v>0</v>
      </c>
      <c r="P80" s="78">
        <v>250</v>
      </c>
      <c r="Q80" s="78">
        <v>0</v>
      </c>
      <c r="R80" s="78">
        <f>ROUND(SUM(F80:Q80),5)</f>
        <v>2500</v>
      </c>
    </row>
    <row r="81" spans="1:18" s="79" customFormat="1" ht="15" outlineLevel="4" thickBot="1">
      <c r="A81" s="77"/>
      <c r="B81" s="77"/>
      <c r="C81" s="77"/>
      <c r="D81" s="77"/>
      <c r="E81" s="77" t="s">
        <v>72</v>
      </c>
      <c r="F81" s="80">
        <v>0</v>
      </c>
      <c r="G81" s="80">
        <v>1000</v>
      </c>
      <c r="H81" s="80">
        <v>300</v>
      </c>
      <c r="I81" s="80">
        <v>300</v>
      </c>
      <c r="J81" s="80">
        <v>0</v>
      </c>
      <c r="K81" s="80">
        <v>4000</v>
      </c>
      <c r="L81" s="80">
        <v>500</v>
      </c>
      <c r="M81" s="80">
        <v>0</v>
      </c>
      <c r="N81" s="80">
        <v>1000</v>
      </c>
      <c r="O81" s="80">
        <v>0</v>
      </c>
      <c r="P81" s="80">
        <v>0</v>
      </c>
      <c r="Q81" s="80">
        <v>2500</v>
      </c>
      <c r="R81" s="80">
        <f>ROUND(SUM(F81:Q81),5)</f>
        <v>9600</v>
      </c>
    </row>
    <row r="82" spans="1:18" s="79" customFormat="1" ht="15" outlineLevel="3" thickBot="1">
      <c r="A82" s="77"/>
      <c r="B82" s="77"/>
      <c r="C82" s="77"/>
      <c r="D82" s="77" t="s">
        <v>73</v>
      </c>
      <c r="E82" s="77"/>
      <c r="F82" s="82">
        <f t="shared" ref="F82:Q82" si="38">ROUND(SUM(F79:F81),5)</f>
        <v>500</v>
      </c>
      <c r="G82" s="82">
        <f t="shared" si="38"/>
        <v>2000</v>
      </c>
      <c r="H82" s="82">
        <f t="shared" si="38"/>
        <v>800</v>
      </c>
      <c r="I82" s="82">
        <f t="shared" si="38"/>
        <v>300</v>
      </c>
      <c r="J82" s="82">
        <f t="shared" si="38"/>
        <v>0</v>
      </c>
      <c r="K82" s="82">
        <f t="shared" si="38"/>
        <v>4000</v>
      </c>
      <c r="L82" s="82">
        <f t="shared" si="38"/>
        <v>500</v>
      </c>
      <c r="M82" s="82">
        <f t="shared" si="38"/>
        <v>250</v>
      </c>
      <c r="N82" s="82">
        <f t="shared" si="38"/>
        <v>1000</v>
      </c>
      <c r="O82" s="82">
        <f t="shared" si="38"/>
        <v>0</v>
      </c>
      <c r="P82" s="82">
        <f t="shared" si="38"/>
        <v>250</v>
      </c>
      <c r="Q82" s="82">
        <f t="shared" si="38"/>
        <v>2500</v>
      </c>
      <c r="R82" s="82">
        <f>ROUND(SUM(F82:Q82),5)</f>
        <v>12100</v>
      </c>
    </row>
    <row r="83" spans="1:18" s="79" customFormat="1" outlineLevel="2">
      <c r="A83" s="77"/>
      <c r="B83" s="77"/>
      <c r="C83" s="77" t="s">
        <v>74</v>
      </c>
      <c r="D83" s="77"/>
      <c r="E83" s="77"/>
      <c r="F83" s="78">
        <f t="shared" ref="F83:Q83" si="39">ROUND(F23+F33+SUM(F37:F38)+F41+F45+F48+F62+F65+F78+F82,5)</f>
        <v>83142.103610000006</v>
      </c>
      <c r="G83" s="78">
        <f t="shared" si="39"/>
        <v>92567.103610000006</v>
      </c>
      <c r="H83" s="78">
        <f t="shared" si="39"/>
        <v>101097.35361000001</v>
      </c>
      <c r="I83" s="78">
        <f t="shared" si="39"/>
        <v>113167.10361000001</v>
      </c>
      <c r="J83" s="78">
        <f t="shared" si="39"/>
        <v>86517.103610000006</v>
      </c>
      <c r="K83" s="78">
        <f t="shared" si="39"/>
        <v>97517.103610000006</v>
      </c>
      <c r="L83" s="78">
        <f t="shared" si="39"/>
        <v>87117.103610000006</v>
      </c>
      <c r="M83" s="78">
        <f t="shared" si="39"/>
        <v>88303.103610000006</v>
      </c>
      <c r="N83" s="78">
        <f t="shared" si="39"/>
        <v>92029.243610000005</v>
      </c>
      <c r="O83" s="78">
        <f t="shared" si="39"/>
        <v>87717.103610000006</v>
      </c>
      <c r="P83" s="78">
        <f t="shared" si="39"/>
        <v>87367.103610000006</v>
      </c>
      <c r="Q83" s="78">
        <f t="shared" si="39"/>
        <v>89682.103610000006</v>
      </c>
      <c r="R83" s="78">
        <f>ROUND(SUM(F83:Q83),5)</f>
        <v>1106223.63332</v>
      </c>
    </row>
    <row r="84" spans="1:18" s="79" customFormat="1" outlineLevel="3">
      <c r="A84" s="77"/>
      <c r="B84" s="77"/>
      <c r="C84" s="77" t="s">
        <v>75</v>
      </c>
      <c r="D84" s="77"/>
      <c r="E84" s="77"/>
      <c r="F84" s="78"/>
      <c r="G84" s="78"/>
      <c r="H84" s="78"/>
      <c r="I84" s="78"/>
      <c r="J84" s="78"/>
      <c r="K84" s="78"/>
      <c r="L84" s="78"/>
      <c r="M84" s="78"/>
      <c r="N84" s="78"/>
      <c r="O84" s="78"/>
      <c r="P84" s="78"/>
      <c r="Q84" s="78"/>
      <c r="R84" s="78"/>
    </row>
    <row r="85" spans="1:18" s="79" customFormat="1" outlineLevel="4">
      <c r="A85" s="77"/>
      <c r="B85" s="77"/>
      <c r="C85" s="77"/>
      <c r="D85" s="77" t="s">
        <v>76</v>
      </c>
      <c r="E85" s="77"/>
      <c r="F85" s="78"/>
      <c r="G85" s="78"/>
      <c r="H85" s="78"/>
      <c r="I85" s="78"/>
      <c r="J85" s="78"/>
      <c r="K85" s="78"/>
      <c r="L85" s="78"/>
      <c r="M85" s="78"/>
      <c r="N85" s="78"/>
      <c r="O85" s="78"/>
      <c r="P85" s="78"/>
      <c r="Q85" s="78"/>
      <c r="R85" s="78"/>
    </row>
    <row r="86" spans="1:18" s="79" customFormat="1" ht="15" outlineLevel="4" thickBot="1">
      <c r="A86" s="77"/>
      <c r="B86" s="77"/>
      <c r="C86" s="77"/>
      <c r="D86" s="77"/>
      <c r="E86" s="77" t="s">
        <v>77</v>
      </c>
      <c r="F86" s="80">
        <v>0</v>
      </c>
      <c r="G86" s="80">
        <f>+G9</f>
        <v>9000</v>
      </c>
      <c r="H86" s="80">
        <f t="shared" ref="H86:P86" si="40">+H9</f>
        <v>9000</v>
      </c>
      <c r="I86" s="80">
        <f t="shared" si="40"/>
        <v>9000</v>
      </c>
      <c r="J86" s="80">
        <f t="shared" si="40"/>
        <v>9000</v>
      </c>
      <c r="K86" s="80">
        <f t="shared" si="40"/>
        <v>9000</v>
      </c>
      <c r="L86" s="80">
        <f t="shared" si="40"/>
        <v>9000</v>
      </c>
      <c r="M86" s="80">
        <f t="shared" si="40"/>
        <v>9000</v>
      </c>
      <c r="N86" s="80">
        <f t="shared" si="40"/>
        <v>9000</v>
      </c>
      <c r="O86" s="80">
        <f t="shared" si="40"/>
        <v>9000</v>
      </c>
      <c r="P86" s="80">
        <f t="shared" si="40"/>
        <v>9000</v>
      </c>
      <c r="Q86" s="80">
        <v>0</v>
      </c>
      <c r="R86" s="80">
        <f>ROUND(SUM(F86:Q86),5)</f>
        <v>90000</v>
      </c>
    </row>
    <row r="87" spans="1:18" s="79" customFormat="1" ht="15" outlineLevel="3" thickBot="1">
      <c r="A87" s="77"/>
      <c r="B87" s="77"/>
      <c r="C87" s="77"/>
      <c r="D87" s="77" t="s">
        <v>78</v>
      </c>
      <c r="E87" s="77"/>
      <c r="F87" s="83">
        <f t="shared" ref="F87:Q87" si="41">ROUND(SUM(F85:F86),5)</f>
        <v>0</v>
      </c>
      <c r="G87" s="83">
        <f t="shared" si="41"/>
        <v>9000</v>
      </c>
      <c r="H87" s="83">
        <f t="shared" si="41"/>
        <v>9000</v>
      </c>
      <c r="I87" s="83">
        <f t="shared" si="41"/>
        <v>9000</v>
      </c>
      <c r="J87" s="83">
        <f t="shared" si="41"/>
        <v>9000</v>
      </c>
      <c r="K87" s="83">
        <f t="shared" si="41"/>
        <v>9000</v>
      </c>
      <c r="L87" s="83">
        <f t="shared" si="41"/>
        <v>9000</v>
      </c>
      <c r="M87" s="83">
        <f t="shared" si="41"/>
        <v>9000</v>
      </c>
      <c r="N87" s="83">
        <f t="shared" si="41"/>
        <v>9000</v>
      </c>
      <c r="O87" s="83">
        <f t="shared" si="41"/>
        <v>9000</v>
      </c>
      <c r="P87" s="83">
        <f t="shared" si="41"/>
        <v>9000</v>
      </c>
      <c r="Q87" s="83">
        <f t="shared" si="41"/>
        <v>0</v>
      </c>
      <c r="R87" s="83">
        <f>ROUND(SUM(F87:Q87),5)</f>
        <v>90000</v>
      </c>
    </row>
    <row r="88" spans="1:18" s="79" customFormat="1" ht="15" outlineLevel="2" thickBot="1">
      <c r="A88" s="77"/>
      <c r="B88" s="77"/>
      <c r="C88" s="77" t="s">
        <v>79</v>
      </c>
      <c r="D88" s="77"/>
      <c r="E88" s="77"/>
      <c r="F88" s="83">
        <f t="shared" ref="F88:Q88" si="42">ROUND(F84+F87,5)</f>
        <v>0</v>
      </c>
      <c r="G88" s="83">
        <f t="shared" si="42"/>
        <v>9000</v>
      </c>
      <c r="H88" s="83">
        <f t="shared" si="42"/>
        <v>9000</v>
      </c>
      <c r="I88" s="83">
        <f t="shared" si="42"/>
        <v>9000</v>
      </c>
      <c r="J88" s="83">
        <f t="shared" si="42"/>
        <v>9000</v>
      </c>
      <c r="K88" s="83">
        <f t="shared" si="42"/>
        <v>9000</v>
      </c>
      <c r="L88" s="83">
        <f t="shared" si="42"/>
        <v>9000</v>
      </c>
      <c r="M88" s="83">
        <f t="shared" si="42"/>
        <v>9000</v>
      </c>
      <c r="N88" s="83">
        <f t="shared" si="42"/>
        <v>9000</v>
      </c>
      <c r="O88" s="83">
        <f t="shared" si="42"/>
        <v>9000</v>
      </c>
      <c r="P88" s="83">
        <f t="shared" si="42"/>
        <v>9000</v>
      </c>
      <c r="Q88" s="83">
        <f t="shared" si="42"/>
        <v>0</v>
      </c>
      <c r="R88" s="83">
        <f>ROUND(SUM(F88:Q88),5)</f>
        <v>90000</v>
      </c>
    </row>
    <row r="89" spans="1:18" s="79" customFormat="1" ht="15" outlineLevel="1" thickBot="1">
      <c r="A89" s="77"/>
      <c r="B89" s="77" t="s">
        <v>80</v>
      </c>
      <c r="C89" s="77"/>
      <c r="D89" s="77"/>
      <c r="E89" s="77"/>
      <c r="F89" s="83">
        <f t="shared" ref="F89:Q89" si="43">ROUND(F22+F83+F88,5)</f>
        <v>83142.103610000006</v>
      </c>
      <c r="G89" s="83">
        <f t="shared" si="43"/>
        <v>101567.10361000001</v>
      </c>
      <c r="H89" s="83">
        <f t="shared" si="43"/>
        <v>110097.35361000001</v>
      </c>
      <c r="I89" s="83">
        <f t="shared" si="43"/>
        <v>122167.10361000001</v>
      </c>
      <c r="J89" s="83">
        <f t="shared" si="43"/>
        <v>95517.103610000006</v>
      </c>
      <c r="K89" s="83">
        <f t="shared" si="43"/>
        <v>106517.10361000001</v>
      </c>
      <c r="L89" s="83">
        <f t="shared" si="43"/>
        <v>96117.103610000006</v>
      </c>
      <c r="M89" s="83">
        <f t="shared" si="43"/>
        <v>97303.103610000006</v>
      </c>
      <c r="N89" s="83">
        <f t="shared" si="43"/>
        <v>101029.24361</v>
      </c>
      <c r="O89" s="83">
        <f t="shared" si="43"/>
        <v>96717.103610000006</v>
      </c>
      <c r="P89" s="83">
        <f t="shared" si="43"/>
        <v>96367.103610000006</v>
      </c>
      <c r="Q89" s="83">
        <f t="shared" si="43"/>
        <v>89682.103610000006</v>
      </c>
      <c r="R89" s="83">
        <f>ROUND(SUM(F89:Q89),5)</f>
        <v>1196223.63332</v>
      </c>
    </row>
    <row r="90" spans="1:18" s="85" customFormat="1" ht="11" thickBot="1">
      <c r="A90" s="77" t="s">
        <v>81</v>
      </c>
      <c r="B90" s="77"/>
      <c r="C90" s="77"/>
      <c r="D90" s="77"/>
      <c r="E90" s="77"/>
      <c r="F90" s="84">
        <f t="shared" ref="F90:Q90" si="44">ROUND(F21-F89,5)</f>
        <v>-2972.7702800000002</v>
      </c>
      <c r="G90" s="84">
        <f t="shared" si="44"/>
        <v>-12397.770280000001</v>
      </c>
      <c r="H90" s="84">
        <f t="shared" si="44"/>
        <v>-4623.0202799999997</v>
      </c>
      <c r="I90" s="84">
        <f t="shared" si="44"/>
        <v>-18497.770280000001</v>
      </c>
      <c r="J90" s="84">
        <f t="shared" si="44"/>
        <v>8152.2297200000003</v>
      </c>
      <c r="K90" s="84">
        <f t="shared" si="44"/>
        <v>-2547.7702800000002</v>
      </c>
      <c r="L90" s="84">
        <f t="shared" si="44"/>
        <v>7552.2297200000003</v>
      </c>
      <c r="M90" s="84">
        <f t="shared" si="44"/>
        <v>6366.2297200000003</v>
      </c>
      <c r="N90" s="84">
        <f t="shared" si="44"/>
        <v>2940.0897199999999</v>
      </c>
      <c r="O90" s="84">
        <f t="shared" si="44"/>
        <v>6952.2297200000003</v>
      </c>
      <c r="P90" s="84">
        <f t="shared" si="44"/>
        <v>7302.2297200000003</v>
      </c>
      <c r="Q90" s="84">
        <f t="shared" si="44"/>
        <v>5287.2297200000003</v>
      </c>
      <c r="R90" s="84">
        <f>ROUND(SUM(F90:Q90),5)</f>
        <v>3513.3666400000002</v>
      </c>
    </row>
    <row r="91" spans="1:18" s="79" customFormat="1" ht="15" thickTop="1">
      <c r="A91" s="86"/>
      <c r="B91" s="86"/>
      <c r="C91" s="86"/>
      <c r="D91" s="86"/>
      <c r="E91" s="86"/>
      <c r="F91" s="87"/>
      <c r="G91" s="87"/>
      <c r="H91" s="87"/>
      <c r="I91" s="87"/>
      <c r="J91" s="87"/>
      <c r="K91" s="87"/>
      <c r="L91" s="87"/>
      <c r="M91" s="87"/>
      <c r="N91" s="87"/>
      <c r="O91" s="87"/>
      <c r="P91" s="87"/>
      <c r="Q91" s="87"/>
      <c r="R91" s="87"/>
    </row>
    <row r="92" spans="1:18" s="79" customFormat="1">
      <c r="A92" s="86"/>
      <c r="B92" s="86"/>
      <c r="C92" s="86"/>
      <c r="D92" s="86"/>
      <c r="E92" s="86"/>
      <c r="F92" s="87"/>
      <c r="G92" s="87"/>
      <c r="H92" s="87"/>
      <c r="I92" s="87"/>
      <c r="J92" s="87"/>
      <c r="K92" s="87"/>
      <c r="L92" s="87"/>
      <c r="M92" s="87"/>
      <c r="N92" s="87"/>
      <c r="O92" s="87"/>
      <c r="P92" s="87"/>
      <c r="Q92" s="87"/>
      <c r="R92" s="87"/>
    </row>
    <row r="93" spans="1:18" s="79" customFormat="1">
      <c r="A93" s="86"/>
      <c r="B93" s="86"/>
      <c r="C93" s="86"/>
      <c r="D93" s="86"/>
      <c r="E93" s="86"/>
      <c r="F93" s="87"/>
      <c r="G93" s="87"/>
      <c r="H93" s="87"/>
      <c r="I93" s="87"/>
      <c r="J93" s="87"/>
      <c r="K93" s="87"/>
      <c r="L93" s="87"/>
      <c r="M93" s="87"/>
      <c r="N93" s="87"/>
      <c r="O93" s="87"/>
      <c r="P93" s="87"/>
      <c r="Q93" s="87"/>
      <c r="R93" s="87"/>
    </row>
    <row r="94" spans="1:18" s="79" customFormat="1">
      <c r="A94" s="86"/>
      <c r="B94" s="86"/>
      <c r="C94" s="86"/>
      <c r="D94" s="86"/>
      <c r="E94" s="86"/>
      <c r="F94" s="87"/>
      <c r="G94" s="87"/>
      <c r="H94" s="87"/>
      <c r="I94" s="87"/>
      <c r="J94" s="87"/>
      <c r="K94" s="87"/>
      <c r="L94" s="87"/>
      <c r="M94" s="87"/>
      <c r="N94" s="87"/>
      <c r="O94" s="87"/>
      <c r="P94" s="87"/>
      <c r="Q94" s="87"/>
      <c r="R94" s="87"/>
    </row>
    <row r="95" spans="1:18" s="79" customFormat="1">
      <c r="A95" s="86"/>
      <c r="B95" s="86"/>
      <c r="C95" s="86"/>
      <c r="D95" s="86"/>
      <c r="E95" s="86"/>
      <c r="F95" s="87"/>
      <c r="G95" s="87"/>
      <c r="H95" s="87"/>
      <c r="I95" s="87"/>
      <c r="J95" s="87"/>
      <c r="K95" s="87"/>
      <c r="L95" s="87"/>
      <c r="M95" s="87"/>
      <c r="N95" s="87"/>
      <c r="O95" s="87"/>
      <c r="P95" s="87"/>
      <c r="Q95" s="87"/>
      <c r="R95" s="87"/>
    </row>
    <row r="96" spans="1:18" s="79" customFormat="1">
      <c r="A96" s="86"/>
      <c r="B96" s="86"/>
      <c r="C96" s="86"/>
      <c r="D96" s="86"/>
      <c r="E96" s="86"/>
      <c r="F96" s="87"/>
      <c r="G96" s="87"/>
      <c r="H96" s="87"/>
      <c r="I96" s="87"/>
      <c r="J96" s="87"/>
      <c r="K96" s="87"/>
      <c r="L96" s="87"/>
      <c r="M96" s="87"/>
      <c r="N96" s="87"/>
      <c r="O96" s="87"/>
      <c r="P96" s="87"/>
      <c r="Q96" s="87"/>
      <c r="R96" s="87"/>
    </row>
    <row r="97" spans="1:18" s="79" customFormat="1">
      <c r="A97" s="86"/>
      <c r="B97" s="86"/>
      <c r="C97" s="86"/>
      <c r="D97" s="86"/>
      <c r="E97" s="86"/>
      <c r="F97" s="87"/>
      <c r="G97" s="87"/>
      <c r="H97" s="87"/>
      <c r="I97" s="87"/>
      <c r="J97" s="87"/>
      <c r="K97" s="87"/>
      <c r="L97" s="87"/>
      <c r="M97" s="87"/>
      <c r="N97" s="87"/>
      <c r="O97" s="87"/>
      <c r="P97" s="87"/>
      <c r="Q97" s="87"/>
      <c r="R97" s="87"/>
    </row>
    <row r="98" spans="1:18" s="79" customFormat="1">
      <c r="A98" s="86"/>
      <c r="B98" s="86"/>
      <c r="C98" s="86"/>
      <c r="D98" s="86"/>
      <c r="E98" s="86"/>
      <c r="F98" s="87"/>
      <c r="G98" s="87"/>
      <c r="H98" s="87"/>
      <c r="I98" s="87"/>
      <c r="J98" s="87"/>
      <c r="K98" s="87"/>
      <c r="L98" s="87"/>
      <c r="M98" s="87"/>
      <c r="N98" s="87"/>
      <c r="O98" s="87"/>
      <c r="P98" s="87"/>
      <c r="Q98" s="87"/>
      <c r="R98" s="87"/>
    </row>
    <row r="99" spans="1:18" s="79" customFormat="1">
      <c r="A99" s="86"/>
      <c r="B99" s="86"/>
      <c r="C99" s="86"/>
      <c r="D99" s="86"/>
      <c r="E99" s="86"/>
      <c r="F99" s="87"/>
      <c r="G99" s="87"/>
      <c r="H99" s="87"/>
      <c r="I99" s="87"/>
      <c r="J99" s="87"/>
      <c r="K99" s="87"/>
      <c r="L99" s="87"/>
      <c r="M99" s="87"/>
      <c r="N99" s="87"/>
      <c r="O99" s="87"/>
      <c r="P99" s="87"/>
      <c r="Q99" s="87"/>
      <c r="R99" s="87"/>
    </row>
    <row r="100" spans="1:18" s="79" customFormat="1">
      <c r="A100" s="86"/>
      <c r="B100" s="86"/>
      <c r="C100" s="86"/>
      <c r="D100" s="86"/>
      <c r="E100" s="86"/>
      <c r="F100" s="87"/>
      <c r="G100" s="87"/>
      <c r="H100" s="87"/>
      <c r="I100" s="87"/>
      <c r="J100" s="87"/>
      <c r="K100" s="87"/>
      <c r="L100" s="87"/>
      <c r="M100" s="87"/>
      <c r="N100" s="87"/>
      <c r="O100" s="87"/>
      <c r="P100" s="87"/>
      <c r="Q100" s="87"/>
      <c r="R100" s="87"/>
    </row>
    <row r="101" spans="1:18" s="79" customFormat="1">
      <c r="A101" s="86"/>
      <c r="B101" s="86"/>
      <c r="C101" s="86"/>
      <c r="D101" s="86"/>
      <c r="E101" s="86"/>
      <c r="F101" s="87"/>
      <c r="G101" s="87"/>
      <c r="H101" s="87"/>
      <c r="I101" s="87"/>
      <c r="J101" s="87"/>
      <c r="K101" s="87"/>
      <c r="L101" s="87"/>
      <c r="M101" s="87"/>
      <c r="N101" s="87"/>
      <c r="O101" s="87"/>
      <c r="P101" s="87"/>
      <c r="Q101" s="87"/>
      <c r="R101" s="87"/>
    </row>
    <row r="102" spans="1:18" s="79" customFormat="1">
      <c r="A102" s="86"/>
      <c r="B102" s="86"/>
      <c r="C102" s="86"/>
      <c r="D102" s="86"/>
      <c r="E102" s="86"/>
      <c r="F102" s="87"/>
      <c r="G102" s="87"/>
      <c r="H102" s="87"/>
      <c r="I102" s="87"/>
      <c r="J102" s="87"/>
      <c r="K102" s="87"/>
      <c r="L102" s="87"/>
      <c r="M102" s="87"/>
      <c r="N102" s="87"/>
      <c r="O102" s="87"/>
      <c r="P102" s="87"/>
      <c r="Q102" s="87"/>
      <c r="R102" s="87"/>
    </row>
    <row r="103" spans="1:18" s="79" customFormat="1">
      <c r="A103" s="86"/>
      <c r="B103" s="86"/>
      <c r="C103" s="86"/>
      <c r="D103" s="86"/>
      <c r="E103" s="86"/>
      <c r="F103" s="87"/>
      <c r="G103" s="87"/>
      <c r="H103" s="87"/>
      <c r="I103" s="87"/>
      <c r="J103" s="87"/>
      <c r="K103" s="87"/>
      <c r="L103" s="87"/>
      <c r="M103" s="87"/>
      <c r="N103" s="87"/>
      <c r="O103" s="87"/>
      <c r="P103" s="87"/>
      <c r="Q103" s="87"/>
      <c r="R103" s="87"/>
    </row>
    <row r="104" spans="1:18" s="79" customFormat="1">
      <c r="A104" s="86"/>
      <c r="B104" s="86"/>
      <c r="C104" s="86"/>
      <c r="D104" s="86"/>
      <c r="E104" s="86"/>
      <c r="F104" s="87"/>
      <c r="G104" s="87"/>
      <c r="H104" s="87"/>
      <c r="I104" s="87"/>
      <c r="J104" s="87"/>
      <c r="K104" s="87"/>
      <c r="L104" s="87"/>
      <c r="M104" s="87"/>
      <c r="N104" s="87"/>
      <c r="O104" s="87"/>
      <c r="P104" s="87"/>
      <c r="Q104" s="87"/>
      <c r="R104" s="87"/>
    </row>
    <row r="105" spans="1:18" s="79" customFormat="1">
      <c r="A105" s="86"/>
      <c r="B105" s="86"/>
      <c r="C105" s="86"/>
      <c r="D105" s="86"/>
      <c r="E105" s="86"/>
      <c r="F105" s="87"/>
      <c r="G105" s="87"/>
      <c r="H105" s="87"/>
      <c r="I105" s="87"/>
      <c r="J105" s="87"/>
      <c r="K105" s="87"/>
      <c r="L105" s="87"/>
      <c r="M105" s="87"/>
      <c r="N105" s="87"/>
      <c r="O105" s="87"/>
      <c r="P105" s="87"/>
      <c r="Q105" s="87"/>
      <c r="R105" s="87"/>
    </row>
    <row r="106" spans="1:18" s="79" customFormat="1">
      <c r="A106" s="86"/>
      <c r="B106" s="86"/>
      <c r="C106" s="86"/>
      <c r="D106" s="86"/>
      <c r="E106" s="86"/>
      <c r="F106" s="87"/>
      <c r="G106" s="87"/>
      <c r="H106" s="87"/>
      <c r="I106" s="87"/>
      <c r="J106" s="87"/>
      <c r="K106" s="87"/>
      <c r="L106" s="87"/>
      <c r="M106" s="87"/>
      <c r="N106" s="87"/>
      <c r="O106" s="87"/>
      <c r="P106" s="87"/>
      <c r="Q106" s="87"/>
      <c r="R106" s="87"/>
    </row>
  </sheetData>
  <pageMargins left="0.7" right="0.7" top="0.75" bottom="0.75" header="0.1" footer="0.3"/>
  <pageSetup orientation="portrait" horizontalDpi="360" verticalDpi="360"/>
  <headerFooter>
    <oddHeader>&amp;L&amp;"Arial,Bold"&amp;8 12:07 PM
&amp;"Arial,Bold"&amp;8 07/23/20
&amp;"Arial,Bold"&amp;8 Accrual Basis&amp;C&amp;"Arial,Bold"&amp;12 Collaboratory School Inc
&amp;"Arial,Bold"&amp;14 Profit &amp;&amp; Loss
&amp;"Arial,Bold"&amp;10 July 2019 through June 2020</oddHeader>
    <oddFooter>&amp;R&amp;"Arial,Bold"&amp;8 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4"/>
  <sheetViews>
    <sheetView topLeftCell="A10" workbookViewId="0">
      <selection activeCell="C14" sqref="C14:D14"/>
    </sheetView>
  </sheetViews>
  <sheetFormatPr baseColWidth="10" defaultColWidth="8.83203125" defaultRowHeight="14" x14ac:dyDescent="0"/>
  <cols>
    <col min="1" max="1" width="13.5" customWidth="1"/>
    <col min="2" max="2" width="25.1640625" customWidth="1"/>
    <col min="3" max="3" width="11.1640625" customWidth="1"/>
    <col min="5" max="5" width="14.5" customWidth="1"/>
    <col min="7" max="7" width="12.5" customWidth="1"/>
    <col min="8" max="8" width="16" customWidth="1"/>
  </cols>
  <sheetData>
    <row r="1" spans="1:9" ht="16" thickBot="1">
      <c r="A1" s="8">
        <v>29</v>
      </c>
      <c r="B1" s="96"/>
      <c r="C1" s="97"/>
      <c r="D1" s="97"/>
      <c r="E1" s="97"/>
      <c r="F1" s="97"/>
      <c r="G1" s="97"/>
      <c r="H1" s="97"/>
      <c r="I1" s="9"/>
    </row>
    <row r="2" spans="1:9" ht="18">
      <c r="A2" s="98" t="s">
        <v>95</v>
      </c>
      <c r="B2" s="98"/>
      <c r="C2" s="98"/>
      <c r="D2" s="98"/>
      <c r="E2" s="98"/>
      <c r="F2" s="98"/>
      <c r="G2" s="98"/>
      <c r="H2" s="98"/>
      <c r="I2" s="10"/>
    </row>
    <row r="3" spans="1:9" ht="16">
      <c r="A3" s="99" t="s">
        <v>236</v>
      </c>
      <c r="B3" s="99"/>
      <c r="C3" s="99"/>
      <c r="D3" s="99"/>
      <c r="E3" s="99"/>
      <c r="F3" s="99"/>
      <c r="G3" s="99"/>
      <c r="H3" s="99"/>
      <c r="I3" s="11"/>
    </row>
    <row r="4" spans="1:9" ht="15">
      <c r="A4" s="100" t="s">
        <v>96</v>
      </c>
      <c r="B4" s="100"/>
      <c r="C4" s="101" t="str">
        <f>INDEX('[1] Detail 2019-20 4th FEFP'!B3:B77,A1)</f>
        <v>Hillsborough</v>
      </c>
      <c r="D4" s="101"/>
      <c r="E4" s="12"/>
      <c r="F4" s="12"/>
      <c r="G4" s="12" t="s">
        <v>97</v>
      </c>
      <c r="H4" s="12">
        <v>1</v>
      </c>
      <c r="I4" s="13"/>
    </row>
    <row r="5" spans="1:9" ht="15">
      <c r="A5" s="102" t="s">
        <v>98</v>
      </c>
      <c r="B5" s="102"/>
      <c r="C5" s="102"/>
      <c r="D5" s="102"/>
      <c r="E5" s="102"/>
      <c r="F5" s="102"/>
      <c r="G5" s="102"/>
      <c r="H5" s="102"/>
      <c r="I5" s="13"/>
    </row>
    <row r="6" spans="1:9" ht="15">
      <c r="A6" s="88" t="s">
        <v>99</v>
      </c>
      <c r="B6" s="88"/>
      <c r="C6" s="89">
        <f>4319.49*H4</f>
        <v>4319.49</v>
      </c>
      <c r="D6" s="89"/>
      <c r="E6" s="90" t="s">
        <v>100</v>
      </c>
      <c r="F6" s="90"/>
      <c r="G6" s="91">
        <v>1.0044999999999999</v>
      </c>
      <c r="H6" s="91"/>
      <c r="I6" s="9"/>
    </row>
    <row r="7" spans="1:9" ht="15">
      <c r="A7" s="14"/>
      <c r="B7" s="14"/>
      <c r="C7" s="15"/>
      <c r="D7" s="15"/>
      <c r="E7" s="16"/>
      <c r="F7" s="16"/>
      <c r="G7" s="17"/>
      <c r="H7" s="18" t="s">
        <v>101</v>
      </c>
      <c r="I7" s="9"/>
    </row>
    <row r="8" spans="1:9" ht="30">
      <c r="A8" s="14"/>
      <c r="B8" s="14"/>
      <c r="C8" s="15"/>
      <c r="D8" s="15"/>
      <c r="E8" s="92" t="s">
        <v>102</v>
      </c>
      <c r="F8" s="92"/>
      <c r="G8" s="17" t="s">
        <v>103</v>
      </c>
      <c r="H8" s="18" t="s">
        <v>104</v>
      </c>
      <c r="I8" s="9"/>
    </row>
    <row r="9" spans="1:9" ht="30">
      <c r="A9" s="93" t="s">
        <v>102</v>
      </c>
      <c r="B9" s="93"/>
      <c r="C9" s="94" t="s">
        <v>105</v>
      </c>
      <c r="D9" s="94"/>
      <c r="E9" s="95" t="s">
        <v>106</v>
      </c>
      <c r="F9" s="95"/>
      <c r="G9" s="19" t="s">
        <v>107</v>
      </c>
      <c r="H9" s="20" t="s">
        <v>108</v>
      </c>
      <c r="I9" s="9"/>
    </row>
    <row r="10" spans="1:9" ht="15">
      <c r="A10" s="107" t="s">
        <v>109</v>
      </c>
      <c r="B10" s="107"/>
      <c r="C10" s="108" t="s">
        <v>110</v>
      </c>
      <c r="D10" s="108"/>
      <c r="E10" s="109" t="s">
        <v>111</v>
      </c>
      <c r="F10" s="109"/>
      <c r="G10" s="21" t="s">
        <v>112</v>
      </c>
      <c r="H10" s="22" t="s">
        <v>113</v>
      </c>
      <c r="I10" s="9"/>
    </row>
    <row r="11" spans="1:9" ht="15">
      <c r="A11" s="110" t="s">
        <v>114</v>
      </c>
      <c r="B11" s="110"/>
      <c r="C11" s="104">
        <v>39</v>
      </c>
      <c r="D11" s="104"/>
      <c r="E11" s="105">
        <v>1.1240000000000001</v>
      </c>
      <c r="F11" s="105"/>
      <c r="G11" s="23">
        <f t="shared" ref="G11:G26" si="0">ROUND(C11*E11,4)</f>
        <v>43.835999999999999</v>
      </c>
      <c r="H11" s="24">
        <f t="shared" ref="H11:H26" si="1">ROUND(ROUND(G11*$C$6,4)*($G$6),0)</f>
        <v>190201</v>
      </c>
      <c r="I11" s="9"/>
    </row>
    <row r="12" spans="1:9" ht="15">
      <c r="A12" s="103" t="s">
        <v>115</v>
      </c>
      <c r="B12" s="103"/>
      <c r="C12" s="104">
        <v>16</v>
      </c>
      <c r="D12" s="104"/>
      <c r="E12" s="105">
        <v>1.1240000000000001</v>
      </c>
      <c r="F12" s="105"/>
      <c r="G12" s="23">
        <f t="shared" si="0"/>
        <v>17.984000000000002</v>
      </c>
      <c r="H12" s="24">
        <f t="shared" si="1"/>
        <v>78031</v>
      </c>
      <c r="I12" s="9"/>
    </row>
    <row r="13" spans="1:9" ht="15">
      <c r="A13" s="103" t="s">
        <v>116</v>
      </c>
      <c r="B13" s="103"/>
      <c r="C13" s="104">
        <v>39</v>
      </c>
      <c r="D13" s="104"/>
      <c r="E13" s="106">
        <v>1</v>
      </c>
      <c r="F13" s="106"/>
      <c r="G13" s="23">
        <f t="shared" si="0"/>
        <v>39</v>
      </c>
      <c r="H13" s="24">
        <f t="shared" si="1"/>
        <v>169218</v>
      </c>
      <c r="I13" s="9"/>
    </row>
    <row r="14" spans="1:9" ht="15">
      <c r="A14" s="103" t="s">
        <v>117</v>
      </c>
      <c r="B14" s="103"/>
      <c r="C14" s="104">
        <v>12</v>
      </c>
      <c r="D14" s="104"/>
      <c r="E14" s="106">
        <v>1</v>
      </c>
      <c r="F14" s="106"/>
      <c r="G14" s="23">
        <f t="shared" si="0"/>
        <v>12</v>
      </c>
      <c r="H14" s="24">
        <f t="shared" si="1"/>
        <v>52067</v>
      </c>
      <c r="I14" s="9"/>
    </row>
    <row r="15" spans="1:9" ht="15">
      <c r="A15" s="103" t="s">
        <v>118</v>
      </c>
      <c r="B15" s="103"/>
      <c r="C15" s="104"/>
      <c r="D15" s="104"/>
      <c r="E15" s="106">
        <v>1.0049999999999999</v>
      </c>
      <c r="F15" s="106"/>
      <c r="G15" s="23">
        <f t="shared" si="0"/>
        <v>0</v>
      </c>
      <c r="H15" s="24">
        <f t="shared" si="1"/>
        <v>0</v>
      </c>
      <c r="I15" s="9"/>
    </row>
    <row r="16" spans="1:9" ht="15">
      <c r="A16" s="103" t="s">
        <v>119</v>
      </c>
      <c r="B16" s="103"/>
      <c r="C16" s="104"/>
      <c r="D16" s="104"/>
      <c r="E16" s="106">
        <v>1.0049999999999999</v>
      </c>
      <c r="F16" s="106"/>
      <c r="G16" s="23">
        <f t="shared" si="0"/>
        <v>0</v>
      </c>
      <c r="H16" s="25">
        <f t="shared" si="1"/>
        <v>0</v>
      </c>
      <c r="I16" s="9"/>
    </row>
    <row r="17" spans="1:9" ht="15">
      <c r="A17" s="103" t="s">
        <v>120</v>
      </c>
      <c r="B17" s="103"/>
      <c r="C17" s="104"/>
      <c r="D17" s="104"/>
      <c r="E17" s="106">
        <v>3.637</v>
      </c>
      <c r="F17" s="106"/>
      <c r="G17" s="23">
        <f t="shared" si="0"/>
        <v>0</v>
      </c>
      <c r="H17" s="24">
        <f t="shared" si="1"/>
        <v>0</v>
      </c>
      <c r="I17" s="9"/>
    </row>
    <row r="18" spans="1:9" ht="15">
      <c r="A18" s="103" t="s">
        <v>121</v>
      </c>
      <c r="B18" s="103"/>
      <c r="C18" s="104"/>
      <c r="D18" s="104"/>
      <c r="E18" s="106">
        <v>3.637</v>
      </c>
      <c r="F18" s="106"/>
      <c r="G18" s="23">
        <f t="shared" si="0"/>
        <v>0</v>
      </c>
      <c r="H18" s="24">
        <f t="shared" si="1"/>
        <v>0</v>
      </c>
      <c r="I18" s="9"/>
    </row>
    <row r="19" spans="1:9" ht="15">
      <c r="A19" s="103" t="s">
        <v>122</v>
      </c>
      <c r="B19" s="103"/>
      <c r="C19" s="104"/>
      <c r="D19" s="104"/>
      <c r="E19" s="106">
        <v>3.637</v>
      </c>
      <c r="F19" s="106"/>
      <c r="G19" s="23">
        <f t="shared" si="0"/>
        <v>0</v>
      </c>
      <c r="H19" s="24">
        <f t="shared" si="1"/>
        <v>0</v>
      </c>
      <c r="I19" s="9"/>
    </row>
    <row r="20" spans="1:9" ht="15">
      <c r="A20" s="103" t="s">
        <v>123</v>
      </c>
      <c r="B20" s="103"/>
      <c r="C20" s="104"/>
      <c r="D20" s="104"/>
      <c r="E20" s="106">
        <v>5.5869999999999997</v>
      </c>
      <c r="F20" s="106"/>
      <c r="G20" s="23">
        <f t="shared" si="0"/>
        <v>0</v>
      </c>
      <c r="H20" s="24">
        <f t="shared" si="1"/>
        <v>0</v>
      </c>
      <c r="I20" s="9"/>
    </row>
    <row r="21" spans="1:9" ht="15">
      <c r="A21" s="103" t="s">
        <v>124</v>
      </c>
      <c r="B21" s="103"/>
      <c r="C21" s="104"/>
      <c r="D21" s="104"/>
      <c r="E21" s="106">
        <v>5.5869999999999997</v>
      </c>
      <c r="F21" s="106"/>
      <c r="G21" s="23">
        <f t="shared" si="0"/>
        <v>0</v>
      </c>
      <c r="H21" s="24">
        <f t="shared" si="1"/>
        <v>0</v>
      </c>
      <c r="I21" s="9"/>
    </row>
    <row r="22" spans="1:9" ht="15">
      <c r="A22" s="103" t="s">
        <v>125</v>
      </c>
      <c r="B22" s="103"/>
      <c r="C22" s="104"/>
      <c r="D22" s="104"/>
      <c r="E22" s="106">
        <v>5.5869999999999997</v>
      </c>
      <c r="F22" s="106"/>
      <c r="G22" s="23">
        <f t="shared" si="0"/>
        <v>0</v>
      </c>
      <c r="H22" s="24">
        <f t="shared" si="1"/>
        <v>0</v>
      </c>
      <c r="I22" s="9">
        <v>17</v>
      </c>
    </row>
    <row r="23" spans="1:9" ht="15">
      <c r="A23" s="103" t="s">
        <v>126</v>
      </c>
      <c r="B23" s="103"/>
      <c r="C23" s="104">
        <v>8</v>
      </c>
      <c r="D23" s="104"/>
      <c r="E23" s="106">
        <v>1.1839999999999999</v>
      </c>
      <c r="F23" s="106"/>
      <c r="G23" s="23">
        <f t="shared" si="0"/>
        <v>9.4719999999999995</v>
      </c>
      <c r="H23" s="24">
        <f t="shared" si="1"/>
        <v>41098</v>
      </c>
      <c r="I23" s="9"/>
    </row>
    <row r="24" spans="1:9" ht="15">
      <c r="A24" s="103" t="s">
        <v>127</v>
      </c>
      <c r="B24" s="103"/>
      <c r="C24" s="104">
        <v>6</v>
      </c>
      <c r="D24" s="104"/>
      <c r="E24" s="106">
        <v>1.1839999999999999</v>
      </c>
      <c r="F24" s="106"/>
      <c r="G24" s="23">
        <f t="shared" si="0"/>
        <v>7.1040000000000001</v>
      </c>
      <c r="H24" s="24">
        <f t="shared" si="1"/>
        <v>30824</v>
      </c>
      <c r="I24" s="9"/>
    </row>
    <row r="25" spans="1:9" ht="15">
      <c r="A25" s="103" t="s">
        <v>128</v>
      </c>
      <c r="B25" s="103"/>
      <c r="C25" s="104"/>
      <c r="D25" s="104"/>
      <c r="E25" s="106">
        <v>1.181</v>
      </c>
      <c r="F25" s="106"/>
      <c r="G25" s="23">
        <f t="shared" si="0"/>
        <v>0</v>
      </c>
      <c r="H25" s="24">
        <f t="shared" si="1"/>
        <v>0</v>
      </c>
      <c r="I25" s="9"/>
    </row>
    <row r="26" spans="1:9" ht="15">
      <c r="A26" s="114" t="s">
        <v>129</v>
      </c>
      <c r="B26" s="114"/>
      <c r="C26" s="104"/>
      <c r="D26" s="104"/>
      <c r="E26" s="109">
        <v>1.0049999999999999</v>
      </c>
      <c r="F26" s="109"/>
      <c r="G26" s="23">
        <f t="shared" si="0"/>
        <v>0</v>
      </c>
      <c r="H26" s="24">
        <f t="shared" si="1"/>
        <v>0</v>
      </c>
      <c r="I26" s="9"/>
    </row>
    <row r="27" spans="1:9" ht="15">
      <c r="A27" s="115" t="s">
        <v>130</v>
      </c>
      <c r="B27" s="115"/>
      <c r="C27" s="116">
        <f>SUM(C11:C26)</f>
        <v>120</v>
      </c>
      <c r="D27" s="116"/>
      <c r="E27" s="117"/>
      <c r="F27" s="117"/>
      <c r="G27" s="26">
        <f>SUM(G11:G26)</f>
        <v>129.39599999999999</v>
      </c>
      <c r="H27" s="24">
        <f>SUM(H11:H26)</f>
        <v>561439</v>
      </c>
      <c r="I27" s="9"/>
    </row>
    <row r="28" spans="1:9" ht="15">
      <c r="A28" s="99" t="s">
        <v>131</v>
      </c>
      <c r="B28" s="99"/>
      <c r="C28" s="99"/>
      <c r="D28" s="99"/>
      <c r="E28" s="99"/>
      <c r="F28" s="99"/>
      <c r="G28" s="99"/>
      <c r="H28" s="27"/>
      <c r="I28" s="9"/>
    </row>
    <row r="29" spans="1:9" ht="60">
      <c r="A29" s="93" t="s">
        <v>132</v>
      </c>
      <c r="B29" s="93"/>
      <c r="C29" s="111" t="s">
        <v>133</v>
      </c>
      <c r="D29" s="112"/>
      <c r="E29" s="112"/>
      <c r="F29" s="112"/>
      <c r="G29" s="112"/>
      <c r="H29" s="20" t="s">
        <v>134</v>
      </c>
      <c r="I29" s="9"/>
    </row>
    <row r="30" spans="1:9" ht="15">
      <c r="A30" s="110" t="s">
        <v>135</v>
      </c>
      <c r="B30" s="110"/>
      <c r="C30" s="113"/>
      <c r="D30" s="113"/>
      <c r="E30" s="113"/>
      <c r="F30" s="113"/>
      <c r="G30" s="113"/>
      <c r="H30" s="25">
        <f t="shared" ref="H30:H35" si="2">ROUND(ROUND(C30*$C$6,4)*($G$6),0)</f>
        <v>0</v>
      </c>
      <c r="I30" s="9"/>
    </row>
    <row r="31" spans="1:9" ht="15">
      <c r="A31" s="103" t="s">
        <v>136</v>
      </c>
      <c r="B31" s="103"/>
      <c r="C31" s="113"/>
      <c r="D31" s="113"/>
      <c r="E31" s="113"/>
      <c r="F31" s="113"/>
      <c r="G31" s="113"/>
      <c r="H31" s="25">
        <f t="shared" si="2"/>
        <v>0</v>
      </c>
      <c r="I31" s="9"/>
    </row>
    <row r="32" spans="1:9" ht="15">
      <c r="A32" s="119" t="s">
        <v>137</v>
      </c>
      <c r="B32" s="119"/>
      <c r="C32" s="120"/>
      <c r="D32" s="120"/>
      <c r="E32" s="120"/>
      <c r="F32" s="120"/>
      <c r="G32" s="120"/>
      <c r="H32" s="25">
        <f t="shared" si="2"/>
        <v>0</v>
      </c>
      <c r="I32" s="9"/>
    </row>
    <row r="33" spans="1:9" ht="15">
      <c r="A33" s="103" t="s">
        <v>138</v>
      </c>
      <c r="B33" s="103"/>
      <c r="C33" s="113"/>
      <c r="D33" s="113"/>
      <c r="E33" s="113"/>
      <c r="F33" s="113"/>
      <c r="G33" s="113"/>
      <c r="H33" s="25">
        <f t="shared" si="2"/>
        <v>0</v>
      </c>
      <c r="I33" s="9"/>
    </row>
    <row r="34" spans="1:9" ht="15">
      <c r="A34" s="103" t="s">
        <v>139</v>
      </c>
      <c r="B34" s="103"/>
      <c r="C34" s="113"/>
      <c r="D34" s="113"/>
      <c r="E34" s="113"/>
      <c r="F34" s="113"/>
      <c r="G34" s="113"/>
      <c r="H34" s="25">
        <f t="shared" si="2"/>
        <v>0</v>
      </c>
      <c r="I34" s="9"/>
    </row>
    <row r="35" spans="1:9" ht="15">
      <c r="A35" s="114" t="s">
        <v>140</v>
      </c>
      <c r="B35" s="114"/>
      <c r="C35" s="113"/>
      <c r="D35" s="113"/>
      <c r="E35" s="113"/>
      <c r="F35" s="113"/>
      <c r="G35" s="113"/>
      <c r="H35" s="25">
        <f t="shared" si="2"/>
        <v>0</v>
      </c>
      <c r="I35" s="9"/>
    </row>
    <row r="36" spans="1:9" ht="16" thickBot="1">
      <c r="A36" s="118" t="s">
        <v>141</v>
      </c>
      <c r="B36" s="118"/>
      <c r="C36" s="118"/>
      <c r="D36" s="118"/>
      <c r="E36" s="28">
        <f>SUM(C30:E35)</f>
        <v>0</v>
      </c>
      <c r="F36" s="117" t="s">
        <v>142</v>
      </c>
      <c r="G36" s="117"/>
      <c r="H36" s="29">
        <f>SUM(H30:H35)</f>
        <v>0</v>
      </c>
      <c r="I36" s="9"/>
    </row>
    <row r="37" spans="1:9" ht="16" thickBot="1">
      <c r="A37" s="118" t="s">
        <v>143</v>
      </c>
      <c r="B37" s="118"/>
      <c r="C37" s="118"/>
      <c r="D37" s="118"/>
      <c r="E37" s="30">
        <f>E36+G27</f>
        <v>129.39599999999999</v>
      </c>
      <c r="F37" s="117" t="s">
        <v>144</v>
      </c>
      <c r="G37" s="117"/>
      <c r="H37" s="31">
        <f>SUM(H36,H27)</f>
        <v>561439</v>
      </c>
      <c r="I37" s="9"/>
    </row>
    <row r="38" spans="1:9" ht="30">
      <c r="A38" s="121" t="s">
        <v>145</v>
      </c>
      <c r="B38" s="121"/>
      <c r="C38" s="112" t="s">
        <v>146</v>
      </c>
      <c r="D38" s="112"/>
      <c r="E38" s="32" t="s">
        <v>147</v>
      </c>
      <c r="F38" s="33" t="s">
        <v>148</v>
      </c>
      <c r="G38" s="33" t="s">
        <v>149</v>
      </c>
      <c r="H38" s="32"/>
      <c r="I38" s="9"/>
    </row>
    <row r="39" spans="1:9" ht="15">
      <c r="A39" s="122" t="s">
        <v>150</v>
      </c>
      <c r="B39" s="122"/>
      <c r="C39" s="124">
        <f>C12</f>
        <v>16</v>
      </c>
      <c r="D39" s="124"/>
      <c r="E39" s="34" t="s">
        <v>151</v>
      </c>
      <c r="F39" s="34">
        <v>251</v>
      </c>
      <c r="G39" s="24">
        <f>INDEX('[1]111-112-113 ADDITIONAL FUND'!D6:D80,A1)</f>
        <v>1016</v>
      </c>
      <c r="H39" s="24">
        <f t="shared" ref="H39:H47" si="3">ROUND(C39*G39,0)</f>
        <v>16256</v>
      </c>
      <c r="I39" s="9"/>
    </row>
    <row r="40" spans="1:9" ht="15">
      <c r="A40" s="123"/>
      <c r="B40" s="123"/>
      <c r="C40" s="125"/>
      <c r="D40" s="125"/>
      <c r="E40" s="34" t="s">
        <v>151</v>
      </c>
      <c r="F40" s="34">
        <v>252</v>
      </c>
      <c r="G40" s="24">
        <f>INDEX('[1]111-112-113 ADDITIONAL FUND'!E6:E80,A1)</f>
        <v>3282</v>
      </c>
      <c r="H40" s="24">
        <f t="shared" si="3"/>
        <v>0</v>
      </c>
      <c r="I40" s="9"/>
    </row>
    <row r="41" spans="1:9" ht="15">
      <c r="A41" s="123"/>
      <c r="B41" s="123"/>
      <c r="C41" s="125"/>
      <c r="D41" s="125"/>
      <c r="E41" s="34" t="s">
        <v>151</v>
      </c>
      <c r="F41" s="34">
        <v>253</v>
      </c>
      <c r="G41" s="24">
        <f>INDEX('[1]111-112-113 ADDITIONAL FUND'!F6:F80,A1)</f>
        <v>6697</v>
      </c>
      <c r="H41" s="24">
        <f t="shared" si="3"/>
        <v>0</v>
      </c>
      <c r="I41" s="9"/>
    </row>
    <row r="42" spans="1:9" ht="15">
      <c r="A42" s="123"/>
      <c r="B42" s="123"/>
      <c r="C42" s="125">
        <f>C14</f>
        <v>12</v>
      </c>
      <c r="D42" s="125"/>
      <c r="E42" s="34" t="s">
        <v>152</v>
      </c>
      <c r="F42" s="34">
        <v>251</v>
      </c>
      <c r="G42" s="24">
        <f>INDEX('[1]111-112-113 ADDITIONAL FUND'!G6:G80,A1)</f>
        <v>1139</v>
      </c>
      <c r="H42" s="24">
        <f t="shared" si="3"/>
        <v>13668</v>
      </c>
      <c r="I42" s="9"/>
    </row>
    <row r="43" spans="1:9" ht="15">
      <c r="A43" s="123"/>
      <c r="B43" s="123"/>
      <c r="C43" s="125"/>
      <c r="D43" s="125"/>
      <c r="E43" s="34" t="s">
        <v>152</v>
      </c>
      <c r="F43" s="34">
        <v>252</v>
      </c>
      <c r="G43" s="24">
        <f>INDEX('[1]111-112-113 ADDITIONAL FUND'!H6:H80,A1)</f>
        <v>3405</v>
      </c>
      <c r="H43" s="24">
        <f t="shared" si="3"/>
        <v>0</v>
      </c>
      <c r="I43" s="9"/>
    </row>
    <row r="44" spans="1:9" ht="15">
      <c r="A44" s="123"/>
      <c r="B44" s="123"/>
      <c r="C44" s="125"/>
      <c r="D44" s="125"/>
      <c r="E44" s="34" t="s">
        <v>152</v>
      </c>
      <c r="F44" s="34">
        <v>253</v>
      </c>
      <c r="G44" s="24">
        <f>INDEX('[1]111-112-113 ADDITIONAL FUND'!I6:I80,A1)</f>
        <v>6820</v>
      </c>
      <c r="H44" s="24">
        <f t="shared" si="3"/>
        <v>0</v>
      </c>
      <c r="I44" s="9"/>
    </row>
    <row r="45" spans="1:9" ht="15">
      <c r="A45" s="123"/>
      <c r="B45" s="123"/>
      <c r="C45" s="125"/>
      <c r="D45" s="125"/>
      <c r="E45" s="34" t="s">
        <v>153</v>
      </c>
      <c r="F45" s="34">
        <v>251</v>
      </c>
      <c r="G45" s="24">
        <f>INDEX('[1]111-112-113 ADDITIONAL FUND'!J6:J80,A1)</f>
        <v>811</v>
      </c>
      <c r="H45" s="24">
        <f t="shared" si="3"/>
        <v>0</v>
      </c>
      <c r="I45" s="9"/>
    </row>
    <row r="46" spans="1:9" ht="15">
      <c r="A46" s="123"/>
      <c r="B46" s="123"/>
      <c r="C46" s="125"/>
      <c r="D46" s="125"/>
      <c r="E46" s="34" t="s">
        <v>153</v>
      </c>
      <c r="F46" s="34">
        <v>252</v>
      </c>
      <c r="G46" s="24">
        <f>INDEX('[1]111-112-113 ADDITIONAL FUND'!K6:K80,A1)</f>
        <v>3076</v>
      </c>
      <c r="H46" s="24">
        <f t="shared" si="3"/>
        <v>0</v>
      </c>
      <c r="I46" s="9"/>
    </row>
    <row r="47" spans="1:9" ht="16" thickBot="1">
      <c r="A47" s="123"/>
      <c r="B47" s="123"/>
      <c r="C47" s="130"/>
      <c r="D47" s="130"/>
      <c r="E47" s="34" t="s">
        <v>153</v>
      </c>
      <c r="F47" s="34">
        <v>253</v>
      </c>
      <c r="G47" s="24">
        <f>INDEX('[1]111-112-113 ADDITIONAL FUND'!L6:L80,A1)</f>
        <v>6491</v>
      </c>
      <c r="H47" s="35">
        <f t="shared" si="3"/>
        <v>0</v>
      </c>
      <c r="I47" s="9"/>
    </row>
    <row r="48" spans="1:9" ht="16" thickBot="1">
      <c r="A48" s="118" t="s">
        <v>154</v>
      </c>
      <c r="B48" s="118"/>
      <c r="C48" s="131">
        <f>SUM(C39:C47)</f>
        <v>28</v>
      </c>
      <c r="D48" s="131"/>
      <c r="E48" s="118" t="s">
        <v>155</v>
      </c>
      <c r="F48" s="118"/>
      <c r="G48" s="118"/>
      <c r="H48" s="31">
        <f>SUM(H39:H47)</f>
        <v>29924</v>
      </c>
      <c r="I48" s="9"/>
    </row>
    <row r="49" spans="1:9" ht="15">
      <c r="A49" s="129" t="s">
        <v>156</v>
      </c>
      <c r="B49" s="129"/>
      <c r="C49" s="129"/>
      <c r="D49" s="129"/>
      <c r="E49" s="129"/>
      <c r="F49" s="129"/>
      <c r="G49" s="129"/>
      <c r="H49" s="129"/>
      <c r="I49" s="9"/>
    </row>
    <row r="50" spans="1:9" ht="15">
      <c r="A50" s="126" t="s">
        <v>157</v>
      </c>
      <c r="B50" s="126"/>
      <c r="C50" s="36">
        <f>C27</f>
        <v>120</v>
      </c>
      <c r="D50" s="37" t="s">
        <v>158</v>
      </c>
      <c r="E50" s="38"/>
      <c r="F50" s="39" t="s">
        <v>159</v>
      </c>
      <c r="G50" s="127">
        <f>INDEX('[1] Detail 2019-20 4th FEFP'!D3:D77,A1)</f>
        <v>219258.59000000003</v>
      </c>
      <c r="H50" s="127"/>
      <c r="I50" s="9"/>
    </row>
    <row r="51" spans="1:9" ht="15">
      <c r="A51" s="40"/>
      <c r="B51" s="41"/>
      <c r="C51" s="9"/>
      <c r="D51" s="9"/>
      <c r="E51" s="9"/>
      <c r="F51" s="14" t="s">
        <v>160</v>
      </c>
      <c r="G51" s="128">
        <f>ROUND(C50/G50,6)</f>
        <v>5.4699999999999996E-4</v>
      </c>
      <c r="H51" s="128"/>
      <c r="I51" s="9"/>
    </row>
    <row r="52" spans="1:9" ht="15">
      <c r="A52" s="129" t="s">
        <v>161</v>
      </c>
      <c r="B52" s="129"/>
      <c r="C52" s="129"/>
      <c r="D52" s="129"/>
      <c r="E52" s="129"/>
      <c r="F52" s="129"/>
      <c r="G52" s="129"/>
      <c r="H52" s="129"/>
      <c r="I52" s="9"/>
    </row>
    <row r="53" spans="1:9" ht="15">
      <c r="A53" s="126" t="s">
        <v>162</v>
      </c>
      <c r="B53" s="126"/>
      <c r="C53" s="36">
        <f>E37</f>
        <v>129.39599999999999</v>
      </c>
      <c r="D53" s="37" t="s">
        <v>158</v>
      </c>
      <c r="E53" s="38"/>
      <c r="F53" s="39" t="s">
        <v>163</v>
      </c>
      <c r="G53" s="127">
        <f>INDEX('[1] Detail 2019-20 4th FEFP'!E3:E77,A1)</f>
        <v>240585.72999999998</v>
      </c>
      <c r="H53" s="127"/>
      <c r="I53" s="9"/>
    </row>
    <row r="54" spans="1:9" ht="15">
      <c r="A54" s="42"/>
      <c r="B54" s="32"/>
      <c r="C54" s="32"/>
      <c r="D54" s="32"/>
      <c r="E54" s="32"/>
      <c r="F54" s="43" t="s">
        <v>160</v>
      </c>
      <c r="G54" s="132">
        <f>ROUND(C53/G53,6)</f>
        <v>5.3799999999999996E-4</v>
      </c>
      <c r="H54" s="132"/>
      <c r="I54" s="9"/>
    </row>
    <row r="55" spans="1:9" ht="15">
      <c r="A55" s="129" t="s">
        <v>164</v>
      </c>
      <c r="B55" s="129"/>
      <c r="C55" s="129"/>
      <c r="D55" s="44" t="s">
        <v>165</v>
      </c>
      <c r="E55" s="45">
        <v>52215676</v>
      </c>
      <c r="F55" s="34" t="s">
        <v>166</v>
      </c>
      <c r="G55" s="46">
        <v>6.1899999999999998E-4</v>
      </c>
      <c r="H55" s="24">
        <f>ROUND(E55*G55,0)</f>
        <v>32322</v>
      </c>
      <c r="I55" s="9"/>
    </row>
    <row r="56" spans="1:9" ht="15">
      <c r="A56" s="133" t="s">
        <v>167</v>
      </c>
      <c r="B56" s="129"/>
      <c r="C56" s="129"/>
      <c r="D56" s="44"/>
      <c r="E56" s="47"/>
      <c r="F56" s="34"/>
      <c r="G56" s="46"/>
      <c r="H56" s="24"/>
      <c r="I56" s="9"/>
    </row>
    <row r="57" spans="1:9" ht="15">
      <c r="A57" s="134" t="s">
        <v>168</v>
      </c>
      <c r="B57" s="126"/>
      <c r="C57" s="126"/>
      <c r="D57" s="44" t="s">
        <v>165</v>
      </c>
      <c r="E57" s="45">
        <v>42326823</v>
      </c>
      <c r="F57" s="34" t="s">
        <v>166</v>
      </c>
      <c r="G57" s="46">
        <v>6.1899999999999998E-4</v>
      </c>
      <c r="H57" s="24">
        <f>ROUND(E57*G57,0)</f>
        <v>26200</v>
      </c>
      <c r="I57" s="9"/>
    </row>
    <row r="58" spans="1:9" ht="15">
      <c r="A58" s="129" t="s">
        <v>169</v>
      </c>
      <c r="B58" s="129"/>
      <c r="C58" s="129"/>
      <c r="D58" s="44" t="s">
        <v>170</v>
      </c>
      <c r="E58" s="45">
        <v>154739</v>
      </c>
      <c r="F58" s="34" t="s">
        <v>166</v>
      </c>
      <c r="G58" s="46">
        <v>6.1899999999999998E-4</v>
      </c>
      <c r="H58" s="24">
        <f>ROUND(E58*G58,0)</f>
        <v>96</v>
      </c>
      <c r="I58" s="9"/>
    </row>
    <row r="59" spans="1:9" ht="15">
      <c r="A59" s="129" t="s">
        <v>171</v>
      </c>
      <c r="B59" s="129"/>
      <c r="C59" s="129"/>
      <c r="D59" s="44" t="s">
        <v>165</v>
      </c>
      <c r="E59" s="45">
        <v>11098448</v>
      </c>
      <c r="F59" s="34" t="s">
        <v>166</v>
      </c>
      <c r="G59" s="46">
        <v>6.1899999999999998E-4</v>
      </c>
      <c r="H59" s="24">
        <f>ROUND(E59*G59,0)</f>
        <v>6870</v>
      </c>
      <c r="I59" s="9"/>
    </row>
    <row r="60" spans="1:9" ht="15">
      <c r="A60" s="129" t="s">
        <v>172</v>
      </c>
      <c r="B60" s="129"/>
      <c r="C60" s="129"/>
      <c r="D60" s="44" t="s">
        <v>165</v>
      </c>
      <c r="E60" s="48">
        <v>17640040</v>
      </c>
      <c r="F60" s="34" t="s">
        <v>166</v>
      </c>
      <c r="G60" s="46">
        <v>6.1899999999999998E-4</v>
      </c>
      <c r="H60" s="24">
        <f>ROUND(E60*G60,0)</f>
        <v>10919</v>
      </c>
      <c r="I60" s="9"/>
    </row>
    <row r="61" spans="1:9" ht="15">
      <c r="A61" s="103" t="s">
        <v>173</v>
      </c>
      <c r="B61" s="103"/>
      <c r="C61" s="103"/>
      <c r="D61" s="34" t="s">
        <v>174</v>
      </c>
      <c r="E61" s="99"/>
      <c r="F61" s="99"/>
      <c r="G61" s="99"/>
      <c r="H61" s="49"/>
      <c r="I61" s="9"/>
    </row>
    <row r="62" spans="1:9" ht="15">
      <c r="A62" s="103" t="s">
        <v>175</v>
      </c>
      <c r="B62" s="103"/>
      <c r="C62" s="103"/>
      <c r="D62" s="103"/>
      <c r="E62" s="103"/>
      <c r="F62" s="103"/>
      <c r="G62" s="103"/>
      <c r="H62" s="49"/>
      <c r="I62" s="9"/>
    </row>
    <row r="63" spans="1:9" ht="15">
      <c r="A63" s="50" t="s">
        <v>176</v>
      </c>
      <c r="B63" s="41"/>
      <c r="C63" s="41"/>
      <c r="D63" s="41"/>
      <c r="E63" s="41"/>
      <c r="F63" s="41"/>
      <c r="G63" s="41"/>
      <c r="H63" s="29"/>
      <c r="I63" s="9"/>
    </row>
    <row r="64" spans="1:9" ht="15">
      <c r="A64" s="129" t="s">
        <v>177</v>
      </c>
      <c r="B64" s="129"/>
      <c r="C64" s="129"/>
      <c r="D64" s="44" t="s">
        <v>165</v>
      </c>
      <c r="E64" s="48">
        <v>7348987</v>
      </c>
      <c r="F64" s="34" t="s">
        <v>166</v>
      </c>
      <c r="G64" s="46">
        <v>6.1899999999999998E-4</v>
      </c>
      <c r="H64" s="24">
        <f t="shared" ref="H64:H72" si="4">ROUND(E64*G64,0)</f>
        <v>4549</v>
      </c>
      <c r="I64" s="9"/>
    </row>
    <row r="65" spans="1:9" ht="15">
      <c r="A65" s="129" t="s">
        <v>178</v>
      </c>
      <c r="B65" s="129"/>
      <c r="C65" s="129"/>
      <c r="D65" s="44" t="s">
        <v>165</v>
      </c>
      <c r="E65" s="48">
        <v>2889969</v>
      </c>
      <c r="F65" s="34" t="s">
        <v>166</v>
      </c>
      <c r="G65" s="46">
        <v>6.1899999999999998E-4</v>
      </c>
      <c r="H65" s="24">
        <f t="shared" si="4"/>
        <v>1789</v>
      </c>
      <c r="I65" s="9"/>
    </row>
    <row r="66" spans="1:9" ht="15">
      <c r="A66" s="129" t="s">
        <v>179</v>
      </c>
      <c r="B66" s="129"/>
      <c r="C66" s="129"/>
      <c r="D66" s="44" t="s">
        <v>180</v>
      </c>
      <c r="E66" s="48">
        <f>INDEX('[1] Detail 2019-20 4th FEFP'!F3:F77,A1)</f>
        <v>0</v>
      </c>
      <c r="F66" s="34" t="s">
        <v>166</v>
      </c>
      <c r="G66" s="46">
        <f>G54</f>
        <v>5.3799999999999996E-4</v>
      </c>
      <c r="H66" s="24">
        <f t="shared" si="4"/>
        <v>0</v>
      </c>
      <c r="I66" s="9"/>
    </row>
    <row r="67" spans="1:9" ht="15">
      <c r="A67" s="129" t="s">
        <v>181</v>
      </c>
      <c r="B67" s="129"/>
      <c r="C67" s="129"/>
      <c r="D67" s="44" t="s">
        <v>180</v>
      </c>
      <c r="E67" s="48">
        <f>INDEX('[1] Detail 2019-20 4th FEFP'!G3:G77,A1)</f>
        <v>0</v>
      </c>
      <c r="F67" s="34" t="s">
        <v>166</v>
      </c>
      <c r="G67" s="46">
        <v>6.0499999999999996E-4</v>
      </c>
      <c r="H67" s="24">
        <f t="shared" si="4"/>
        <v>0</v>
      </c>
      <c r="I67" s="9"/>
    </row>
    <row r="68" spans="1:9" ht="15">
      <c r="A68" s="129" t="s">
        <v>182</v>
      </c>
      <c r="B68" s="129"/>
      <c r="C68" s="129"/>
      <c r="D68" s="44" t="s">
        <v>180</v>
      </c>
      <c r="E68" s="48">
        <v>9503826</v>
      </c>
      <c r="F68" s="34" t="s">
        <v>166</v>
      </c>
      <c r="G68" s="46">
        <v>6.0499999999999996E-4</v>
      </c>
      <c r="H68" s="24">
        <f t="shared" si="4"/>
        <v>5750</v>
      </c>
      <c r="I68" s="9"/>
    </row>
    <row r="69" spans="1:9" ht="15">
      <c r="A69" s="51" t="s">
        <v>183</v>
      </c>
      <c r="B69" s="51"/>
      <c r="C69" s="51"/>
      <c r="D69" s="44" t="s">
        <v>184</v>
      </c>
      <c r="E69" s="52">
        <v>38640594</v>
      </c>
      <c r="F69" s="34"/>
      <c r="G69" s="46">
        <v>6.0499999999999996E-4</v>
      </c>
      <c r="H69" s="24">
        <f t="shared" si="4"/>
        <v>23378</v>
      </c>
      <c r="I69" s="9"/>
    </row>
    <row r="70" spans="1:9" ht="15">
      <c r="A70" s="129" t="s">
        <v>185</v>
      </c>
      <c r="B70" s="129"/>
      <c r="C70" s="129"/>
      <c r="D70" s="44" t="s">
        <v>180</v>
      </c>
      <c r="E70" s="48">
        <v>86792605</v>
      </c>
      <c r="F70" s="34" t="s">
        <v>166</v>
      </c>
      <c r="G70" s="46">
        <v>6.0499999999999996E-4</v>
      </c>
      <c r="H70" s="53">
        <f t="shared" si="4"/>
        <v>52510</v>
      </c>
      <c r="I70" s="29"/>
    </row>
    <row r="71" spans="1:9" ht="15">
      <c r="A71" s="129" t="s">
        <v>186</v>
      </c>
      <c r="B71" s="129"/>
      <c r="C71" s="129"/>
      <c r="D71" s="44" t="s">
        <v>180</v>
      </c>
      <c r="E71" s="45">
        <v>0</v>
      </c>
      <c r="F71" s="34" t="s">
        <v>166</v>
      </c>
      <c r="G71" s="46">
        <v>6.0499999999999996E-4</v>
      </c>
      <c r="H71" s="53">
        <f t="shared" si="4"/>
        <v>0</v>
      </c>
      <c r="I71" s="9"/>
    </row>
    <row r="72" spans="1:9" ht="15">
      <c r="A72" s="129" t="s">
        <v>187</v>
      </c>
      <c r="B72" s="129"/>
      <c r="C72" s="129"/>
      <c r="D72" s="44" t="s">
        <v>180</v>
      </c>
      <c r="E72" s="48"/>
      <c r="F72" s="34" t="s">
        <v>166</v>
      </c>
      <c r="G72" s="46">
        <v>6.0499999999999996E-4</v>
      </c>
      <c r="H72" s="24">
        <f t="shared" si="4"/>
        <v>0</v>
      </c>
      <c r="I72" s="9"/>
    </row>
    <row r="73" spans="1:9" ht="15">
      <c r="A73" s="129" t="s">
        <v>188</v>
      </c>
      <c r="B73" s="129"/>
      <c r="C73" s="129"/>
      <c r="D73" s="129"/>
      <c r="E73" s="129"/>
      <c r="F73" s="129"/>
      <c r="G73" s="129"/>
      <c r="H73" s="129"/>
      <c r="I73" s="9"/>
    </row>
    <row r="74" spans="1:9" ht="15">
      <c r="A74" s="135" t="s">
        <v>189</v>
      </c>
      <c r="B74" s="135"/>
      <c r="C74" s="136" t="s">
        <v>190</v>
      </c>
      <c r="D74" s="136"/>
      <c r="E74" s="137" t="s">
        <v>191</v>
      </c>
      <c r="F74" s="137"/>
      <c r="G74" s="137"/>
      <c r="H74" s="137"/>
      <c r="I74" s="9"/>
    </row>
    <row r="75" spans="1:9" ht="15">
      <c r="A75" s="54" t="s">
        <v>192</v>
      </c>
      <c r="B75" s="55">
        <f>G11+G12+G17+G20+G23</f>
        <v>71.292000000000002</v>
      </c>
      <c r="C75" s="138">
        <f>G6</f>
        <v>1.0044999999999999</v>
      </c>
      <c r="D75" s="138"/>
      <c r="E75" s="44">
        <v>1301.57</v>
      </c>
      <c r="F75" s="34" t="s">
        <v>160</v>
      </c>
      <c r="G75" s="48">
        <f>ROUND(B75*C75*E75,0)</f>
        <v>93209</v>
      </c>
      <c r="H75" s="56"/>
      <c r="I75" s="9"/>
    </row>
    <row r="76" spans="1:9" ht="15">
      <c r="A76" s="57" t="s">
        <v>152</v>
      </c>
      <c r="B76" s="55">
        <f>G13+G14+G18+G21+G24</f>
        <v>58.103999999999999</v>
      </c>
      <c r="C76" s="138">
        <f>G6</f>
        <v>1.0044999999999999</v>
      </c>
      <c r="D76" s="138"/>
      <c r="E76" s="44">
        <v>887.8</v>
      </c>
      <c r="F76" s="34" t="s">
        <v>160</v>
      </c>
      <c r="G76" s="48">
        <f>ROUND(B76*C76*E76,0)</f>
        <v>51817</v>
      </c>
      <c r="H76" s="9"/>
      <c r="I76" s="9"/>
    </row>
    <row r="77" spans="1:9" ht="16" thickBot="1">
      <c r="A77" s="54" t="s">
        <v>153</v>
      </c>
      <c r="B77" s="58">
        <f>G15+G16+G19+G22+G25+G26</f>
        <v>0</v>
      </c>
      <c r="C77" s="138">
        <f>G6</f>
        <v>1.0044999999999999</v>
      </c>
      <c r="D77" s="138"/>
      <c r="E77" s="44">
        <f>'[1] Detail 2019-20 4th FEFP'!AH3</f>
        <v>893.46</v>
      </c>
      <c r="F77" s="34" t="s">
        <v>160</v>
      </c>
      <c r="G77" s="48">
        <f>ROUND(B77*C77*E77,0)</f>
        <v>0</v>
      </c>
      <c r="H77" s="9"/>
      <c r="I77" s="9"/>
    </row>
    <row r="78" spans="1:9" ht="16" thickBot="1">
      <c r="A78" s="59" t="s">
        <v>193</v>
      </c>
      <c r="B78" s="60">
        <f>SUM(B75:B77)</f>
        <v>129.39600000000002</v>
      </c>
      <c r="C78" s="142" t="s">
        <v>194</v>
      </c>
      <c r="D78" s="143"/>
      <c r="E78" s="143"/>
      <c r="F78" s="143"/>
      <c r="G78" s="143"/>
      <c r="H78" s="24">
        <f>IF(A1=75,0,G77+G76+G75)</f>
        <v>145026</v>
      </c>
      <c r="I78" s="9"/>
    </row>
    <row r="79" spans="1:9" ht="15">
      <c r="A79" s="144" t="s">
        <v>195</v>
      </c>
      <c r="B79" s="144"/>
      <c r="C79" s="144"/>
      <c r="D79" s="144"/>
      <c r="E79" s="144"/>
      <c r="F79" s="144"/>
      <c r="G79" s="144"/>
      <c r="H79" s="144"/>
      <c r="I79" s="9"/>
    </row>
    <row r="80" spans="1:9" ht="15">
      <c r="A80" s="129" t="s">
        <v>196</v>
      </c>
      <c r="B80" s="129"/>
      <c r="C80" s="129"/>
      <c r="D80" s="44" t="s">
        <v>197</v>
      </c>
      <c r="E80" s="145"/>
      <c r="F80" s="145"/>
      <c r="G80" s="145"/>
      <c r="H80" s="145"/>
      <c r="I80" s="9"/>
    </row>
    <row r="81" spans="1:9" ht="15">
      <c r="A81" s="139" t="s">
        <v>198</v>
      </c>
      <c r="B81" s="139"/>
      <c r="C81" s="146"/>
      <c r="D81" s="146"/>
      <c r="E81" s="146"/>
      <c r="F81" s="61" t="s">
        <v>199</v>
      </c>
      <c r="G81" s="47">
        <f>IF(A1&gt;67,0,INDEX('[1]Transportation Per Student'!F10:F76,A1))</f>
        <v>408</v>
      </c>
      <c r="H81" s="24">
        <f>ROUND(G81*C81,0)</f>
        <v>0</v>
      </c>
      <c r="I81" s="9"/>
    </row>
    <row r="82" spans="1:9" ht="15">
      <c r="A82" s="139" t="s">
        <v>200</v>
      </c>
      <c r="B82" s="139"/>
      <c r="C82" s="140"/>
      <c r="D82" s="140"/>
      <c r="E82" s="140"/>
      <c r="F82" s="61" t="s">
        <v>199</v>
      </c>
      <c r="G82" s="47">
        <f>IF(A1&gt;67,0,INDEX('[1]Transportation Per Student'!J10:J76,A1))</f>
        <v>1456</v>
      </c>
      <c r="H82" s="24">
        <f>ROUND(G82*C82,0)</f>
        <v>0</v>
      </c>
      <c r="I82" s="9"/>
    </row>
    <row r="83" spans="1:9" ht="15">
      <c r="A83" s="129" t="s">
        <v>201</v>
      </c>
      <c r="B83" s="129"/>
      <c r="C83" s="129"/>
      <c r="D83" s="34" t="s">
        <v>202</v>
      </c>
      <c r="E83" s="99"/>
      <c r="F83" s="99"/>
      <c r="G83" s="99"/>
      <c r="H83" s="99"/>
      <c r="I83" s="9"/>
    </row>
    <row r="84" spans="1:9" ht="45">
      <c r="A84" s="107" t="s">
        <v>203</v>
      </c>
      <c r="B84" s="107"/>
      <c r="C84" s="108" t="s">
        <v>204</v>
      </c>
      <c r="D84" s="108"/>
      <c r="E84" s="141" t="s">
        <v>205</v>
      </c>
      <c r="F84" s="141"/>
      <c r="G84" s="33" t="s">
        <v>206</v>
      </c>
      <c r="H84" s="62" t="s">
        <v>207</v>
      </c>
      <c r="I84" s="9"/>
    </row>
    <row r="85" spans="1:9" ht="15">
      <c r="A85" s="103" t="s">
        <v>208</v>
      </c>
      <c r="B85" s="103"/>
      <c r="C85" s="140"/>
      <c r="D85" s="140"/>
      <c r="E85" s="149">
        <f>IF(C85=0,0,INDEX('[1] Detail 2019-20 4th FEFP'!Z3:Z77,A1))</f>
        <v>0</v>
      </c>
      <c r="F85" s="149"/>
      <c r="G85" s="63">
        <f>IF(C85=0,0,'[1] Detail 2019-20 4th FEFP'!AP3)</f>
        <v>0</v>
      </c>
      <c r="H85" s="24">
        <f>ROUND((G85+E85)*C85,0)</f>
        <v>0</v>
      </c>
      <c r="I85" s="9"/>
    </row>
    <row r="86" spans="1:9" ht="15">
      <c r="A86" s="103" t="s">
        <v>209</v>
      </c>
      <c r="B86" s="103"/>
      <c r="C86" s="140"/>
      <c r="D86" s="140"/>
      <c r="E86" s="150">
        <f>ROUND(E85/2,2)</f>
        <v>0</v>
      </c>
      <c r="F86" s="150"/>
      <c r="G86" s="63">
        <f>IF(C86=0,0,ROUND('[1] Detail 2019-20 4th FEFP'!AP3/2,2))</f>
        <v>0</v>
      </c>
      <c r="H86" s="24">
        <f>ROUND((G86+E86)*C86,0)</f>
        <v>0</v>
      </c>
      <c r="I86" s="9"/>
    </row>
    <row r="87" spans="1:9" ht="16" thickBot="1">
      <c r="A87" s="114" t="s">
        <v>210</v>
      </c>
      <c r="B87" s="114"/>
      <c r="C87" s="140"/>
      <c r="D87" s="140"/>
      <c r="E87" s="147"/>
      <c r="F87" s="147"/>
      <c r="G87" s="64">
        <f>IF(G85&gt;0,'[1] Detail 2019-20 4th FEFP'!AQ3,0)</f>
        <v>0</v>
      </c>
      <c r="H87" s="29">
        <f>ROUND(G87*C87,0)</f>
        <v>0</v>
      </c>
      <c r="I87" s="9"/>
    </row>
    <row r="88" spans="1:9" ht="16" thickBot="1">
      <c r="A88" s="99" t="s">
        <v>207</v>
      </c>
      <c r="B88" s="99"/>
      <c r="C88" s="65"/>
      <c r="D88" s="65"/>
      <c r="E88" s="65"/>
      <c r="F88" s="65"/>
      <c r="G88" s="65"/>
      <c r="H88" s="66">
        <f>SUM(H85:H87)</f>
        <v>0</v>
      </c>
      <c r="I88" s="9"/>
    </row>
    <row r="89" spans="1:9" ht="15">
      <c r="A89" s="129" t="s">
        <v>211</v>
      </c>
      <c r="B89" s="129"/>
      <c r="C89" s="129"/>
      <c r="D89" s="67" t="s">
        <v>212</v>
      </c>
      <c r="E89" s="148"/>
      <c r="F89" s="148"/>
      <c r="G89" s="148"/>
      <c r="H89" s="49"/>
      <c r="I89" s="9"/>
    </row>
    <row r="90" spans="1:9" ht="15">
      <c r="A90" s="129" t="s">
        <v>213</v>
      </c>
      <c r="B90" s="129"/>
      <c r="C90" s="129"/>
      <c r="D90" s="67" t="s">
        <v>214</v>
      </c>
      <c r="E90" s="148"/>
      <c r="F90" s="148"/>
      <c r="G90" s="148"/>
      <c r="H90" s="49"/>
      <c r="I90" s="9"/>
    </row>
    <row r="91" spans="1:9" ht="16" thickBot="1">
      <c r="A91" s="118" t="s">
        <v>207</v>
      </c>
      <c r="B91" s="118"/>
      <c r="C91" s="118"/>
      <c r="D91" s="118"/>
      <c r="E91" s="118"/>
      <c r="F91" s="118"/>
      <c r="G91" s="118"/>
      <c r="H91" s="68">
        <f>SUM(H90,H89,H88,H82,H81,H78,H72,H71,H70,H67,H66,H62,H61,H60,H59,H58,H57,H55,H48,H37,H68,H64,H65,H69)</f>
        <v>900772</v>
      </c>
      <c r="I91" s="29"/>
    </row>
    <row r="92" spans="1:9" ht="16" thickTop="1">
      <c r="A92" s="129" t="s">
        <v>215</v>
      </c>
      <c r="B92" s="129"/>
      <c r="C92" s="129"/>
      <c r="D92" s="129"/>
      <c r="E92" s="129"/>
      <c r="F92" s="129"/>
      <c r="G92" s="51" t="s">
        <v>216</v>
      </c>
      <c r="H92" s="29"/>
      <c r="I92" s="9"/>
    </row>
    <row r="93" spans="1:9" ht="15">
      <c r="A93" s="126" t="s">
        <v>217</v>
      </c>
      <c r="B93" s="126"/>
      <c r="C93" s="126"/>
      <c r="D93" s="126"/>
      <c r="E93" s="126"/>
      <c r="F93" s="126"/>
      <c r="G93" s="69"/>
      <c r="H93" s="24">
        <f>'[1]75% or more ESE Calc'!H89</f>
        <v>0</v>
      </c>
      <c r="I93" s="9"/>
    </row>
    <row r="94" spans="1:9">
      <c r="A94" s="152" t="s">
        <v>218</v>
      </c>
      <c r="B94" s="152"/>
      <c r="C94" s="152"/>
      <c r="D94" s="152"/>
      <c r="E94" s="152"/>
      <c r="F94" s="152"/>
      <c r="G94" s="152"/>
      <c r="H94" s="152"/>
      <c r="I94" s="70"/>
    </row>
    <row r="95" spans="1:9">
      <c r="A95" s="151" t="s">
        <v>219</v>
      </c>
      <c r="B95" s="151"/>
      <c r="C95" s="151"/>
      <c r="D95" s="151"/>
      <c r="E95" s="151"/>
      <c r="F95" s="151"/>
      <c r="G95" s="151"/>
      <c r="H95" s="151"/>
      <c r="I95" s="70"/>
    </row>
    <row r="96" spans="1:9" ht="15">
      <c r="A96" s="152" t="s">
        <v>220</v>
      </c>
      <c r="B96" s="152"/>
      <c r="C96" s="152"/>
      <c r="D96" s="152"/>
      <c r="E96" s="152"/>
      <c r="F96" s="152"/>
      <c r="G96" s="152"/>
      <c r="H96" s="152"/>
      <c r="I96" s="9"/>
    </row>
    <row r="97" spans="1:9">
      <c r="A97" s="152" t="s">
        <v>221</v>
      </c>
      <c r="B97" s="152"/>
      <c r="C97" s="152"/>
      <c r="D97" s="152"/>
      <c r="E97" s="152"/>
      <c r="F97" s="152"/>
      <c r="G97" s="152"/>
      <c r="H97" s="152"/>
      <c r="I97" s="70"/>
    </row>
    <row r="98" spans="1:9">
      <c r="A98" s="151" t="s">
        <v>222</v>
      </c>
      <c r="B98" s="151"/>
      <c r="C98" s="151"/>
      <c r="D98" s="151"/>
      <c r="E98" s="151"/>
      <c r="F98" s="151"/>
      <c r="G98" s="151"/>
      <c r="H98" s="151"/>
      <c r="I98" s="70"/>
    </row>
    <row r="99" spans="1:9">
      <c r="A99" s="151" t="s">
        <v>223</v>
      </c>
      <c r="B99" s="151"/>
      <c r="C99" s="151"/>
      <c r="D99" s="151"/>
      <c r="E99" s="151"/>
      <c r="F99" s="151"/>
      <c r="G99" s="151"/>
      <c r="H99" s="151"/>
      <c r="I99" s="70"/>
    </row>
    <row r="100" spans="1:9">
      <c r="A100" s="151" t="s">
        <v>224</v>
      </c>
      <c r="B100" s="151"/>
      <c r="C100" s="151"/>
      <c r="D100" s="151"/>
      <c r="E100" s="151"/>
      <c r="F100" s="151"/>
      <c r="G100" s="151"/>
      <c r="H100" s="151"/>
      <c r="I100" s="70"/>
    </row>
    <row r="101" spans="1:9">
      <c r="A101" s="151" t="s">
        <v>225</v>
      </c>
      <c r="B101" s="151"/>
      <c r="C101" s="151"/>
      <c r="D101" s="151"/>
      <c r="E101" s="151"/>
      <c r="F101" s="151"/>
      <c r="G101" s="151"/>
      <c r="H101" s="151"/>
      <c r="I101" s="70"/>
    </row>
    <row r="102" spans="1:9">
      <c r="A102" s="151" t="s">
        <v>226</v>
      </c>
      <c r="B102" s="151"/>
      <c r="C102" s="151"/>
      <c r="D102" s="151"/>
      <c r="E102" s="151"/>
      <c r="F102" s="151"/>
      <c r="G102" s="151"/>
      <c r="H102" s="151"/>
      <c r="I102" s="70"/>
    </row>
    <row r="103" spans="1:9">
      <c r="A103" s="151" t="s">
        <v>227</v>
      </c>
      <c r="B103" s="151"/>
      <c r="C103" s="151"/>
      <c r="D103" s="151"/>
      <c r="E103" s="151"/>
      <c r="F103" s="151"/>
      <c r="G103" s="151"/>
      <c r="H103" s="151"/>
      <c r="I103" s="71"/>
    </row>
    <row r="104" spans="1:9">
      <c r="A104" s="152" t="s">
        <v>228</v>
      </c>
      <c r="B104" s="152"/>
      <c r="C104" s="152"/>
      <c r="D104" s="152"/>
      <c r="E104" s="152"/>
      <c r="F104" s="152"/>
      <c r="G104" s="152"/>
      <c r="H104" s="152"/>
      <c r="I104" s="70"/>
    </row>
    <row r="105" spans="1:9">
      <c r="A105" s="151" t="s">
        <v>229</v>
      </c>
      <c r="B105" s="151"/>
      <c r="C105" s="151"/>
      <c r="D105" s="151"/>
      <c r="E105" s="151"/>
      <c r="F105" s="151"/>
      <c r="G105" s="151"/>
      <c r="H105" s="151"/>
      <c r="I105" s="70"/>
    </row>
    <row r="106" spans="1:9">
      <c r="A106" s="154" t="s">
        <v>230</v>
      </c>
      <c r="B106" s="151"/>
      <c r="C106" s="151"/>
      <c r="D106" s="151"/>
      <c r="E106" s="151"/>
      <c r="F106" s="151"/>
      <c r="G106" s="151"/>
      <c r="H106" s="151"/>
      <c r="I106" s="70"/>
    </row>
    <row r="107" spans="1:9">
      <c r="A107" s="153" t="s">
        <v>231</v>
      </c>
      <c r="B107" s="153"/>
      <c r="C107" s="153"/>
      <c r="D107" s="153"/>
      <c r="E107" s="153"/>
      <c r="F107" s="153"/>
      <c r="G107" s="153"/>
      <c r="H107" s="153"/>
      <c r="I107" s="70"/>
    </row>
    <row r="108" spans="1:9">
      <c r="A108" s="153" t="s">
        <v>232</v>
      </c>
      <c r="B108" s="153"/>
      <c r="C108" s="153"/>
      <c r="D108" s="153"/>
      <c r="E108" s="153"/>
      <c r="F108" s="153"/>
      <c r="G108" s="153"/>
      <c r="H108" s="153"/>
      <c r="I108" s="70"/>
    </row>
    <row r="109" spans="1:9">
      <c r="A109" s="154" t="s">
        <v>233</v>
      </c>
      <c r="B109" s="154"/>
      <c r="C109" s="154"/>
      <c r="D109" s="154"/>
      <c r="E109" s="154"/>
      <c r="F109" s="154"/>
      <c r="G109" s="154"/>
      <c r="H109" s="154"/>
      <c r="I109" s="70"/>
    </row>
    <row r="110" spans="1:9">
      <c r="A110" s="153" t="s">
        <v>234</v>
      </c>
      <c r="B110" s="153"/>
      <c r="C110" s="153"/>
      <c r="D110" s="153"/>
      <c r="E110" s="153"/>
      <c r="F110" s="153"/>
      <c r="G110" s="153"/>
      <c r="H110" s="153"/>
      <c r="I110" s="70"/>
    </row>
    <row r="111" spans="1:9">
      <c r="A111" s="155" t="s">
        <v>235</v>
      </c>
      <c r="B111" s="155"/>
      <c r="C111" s="155"/>
      <c r="D111" s="155"/>
      <c r="E111" s="155"/>
      <c r="F111" s="155"/>
      <c r="G111" s="155"/>
      <c r="H111" s="155"/>
      <c r="I111" s="70"/>
    </row>
    <row r="112" spans="1:9" ht="15">
      <c r="A112" s="155"/>
      <c r="B112" s="155"/>
      <c r="C112" s="155"/>
      <c r="D112" s="155"/>
      <c r="E112" s="155"/>
      <c r="F112" s="155"/>
      <c r="G112" s="155"/>
      <c r="H112" s="155"/>
      <c r="I112" s="9"/>
    </row>
    <row r="113" spans="1:9" ht="15">
      <c r="A113" s="72"/>
      <c r="B113" s="9"/>
      <c r="C113" s="9"/>
      <c r="D113" s="9"/>
      <c r="E113" s="9"/>
      <c r="F113" s="9"/>
      <c r="G113" s="9"/>
      <c r="H113" s="9"/>
      <c r="I113" s="9"/>
    </row>
    <row r="114" spans="1:9" ht="15">
      <c r="A114" s="72"/>
      <c r="B114" s="9"/>
      <c r="C114" s="9"/>
      <c r="D114" s="9"/>
      <c r="E114" s="9"/>
      <c r="F114" s="9"/>
      <c r="G114" s="9"/>
      <c r="H114" s="9"/>
      <c r="I114" s="9"/>
    </row>
  </sheetData>
  <mergeCells count="183">
    <mergeCell ref="A107:H107"/>
    <mergeCell ref="A108:H108"/>
    <mergeCell ref="A109:H109"/>
    <mergeCell ref="A110:H110"/>
    <mergeCell ref="A111:H111"/>
    <mergeCell ref="A112:H112"/>
    <mergeCell ref="A101:H101"/>
    <mergeCell ref="A102:H102"/>
    <mergeCell ref="A103:H103"/>
    <mergeCell ref="A104:H104"/>
    <mergeCell ref="A105:H105"/>
    <mergeCell ref="A106:H106"/>
    <mergeCell ref="A95:H95"/>
    <mergeCell ref="A96:H96"/>
    <mergeCell ref="A97:H97"/>
    <mergeCell ref="A98:H98"/>
    <mergeCell ref="A99:H99"/>
    <mergeCell ref="A100:H100"/>
    <mergeCell ref="A90:C90"/>
    <mergeCell ref="E90:G90"/>
    <mergeCell ref="A91:G91"/>
    <mergeCell ref="A92:F92"/>
    <mergeCell ref="A93:F93"/>
    <mergeCell ref="A94:H94"/>
    <mergeCell ref="A87:B87"/>
    <mergeCell ref="C87:D87"/>
    <mergeCell ref="E87:F87"/>
    <mergeCell ref="A88:B88"/>
    <mergeCell ref="A89:C89"/>
    <mergeCell ref="E89:G89"/>
    <mergeCell ref="A85:B85"/>
    <mergeCell ref="C85:D85"/>
    <mergeCell ref="E85:F85"/>
    <mergeCell ref="A86:B86"/>
    <mergeCell ref="C86:D86"/>
    <mergeCell ref="E86:F86"/>
    <mergeCell ref="A82:B82"/>
    <mergeCell ref="C82:E82"/>
    <mergeCell ref="A83:C83"/>
    <mergeCell ref="E83:H83"/>
    <mergeCell ref="A84:B84"/>
    <mergeCell ref="C84:D84"/>
    <mergeCell ref="E84:F84"/>
    <mergeCell ref="C77:D77"/>
    <mergeCell ref="C78:G78"/>
    <mergeCell ref="A79:H79"/>
    <mergeCell ref="A80:C80"/>
    <mergeCell ref="E80:H80"/>
    <mergeCell ref="A81:B81"/>
    <mergeCell ref="C81:E81"/>
    <mergeCell ref="A73:H73"/>
    <mergeCell ref="A74:B74"/>
    <mergeCell ref="C74:D74"/>
    <mergeCell ref="E74:H74"/>
    <mergeCell ref="C75:D75"/>
    <mergeCell ref="C76:D76"/>
    <mergeCell ref="A66:C66"/>
    <mergeCell ref="A67:C67"/>
    <mergeCell ref="A68:C68"/>
    <mergeCell ref="A70:C70"/>
    <mergeCell ref="A71:C71"/>
    <mergeCell ref="A72:C72"/>
    <mergeCell ref="A60:C60"/>
    <mergeCell ref="A61:C61"/>
    <mergeCell ref="E61:G61"/>
    <mergeCell ref="A62:G62"/>
    <mergeCell ref="A64:C64"/>
    <mergeCell ref="A65:C65"/>
    <mergeCell ref="G54:H54"/>
    <mergeCell ref="A55:C55"/>
    <mergeCell ref="A56:C56"/>
    <mergeCell ref="A57:C57"/>
    <mergeCell ref="A58:C58"/>
    <mergeCell ref="A59:C59"/>
    <mergeCell ref="A50:B50"/>
    <mergeCell ref="G50:H50"/>
    <mergeCell ref="G51:H51"/>
    <mergeCell ref="A52:H52"/>
    <mergeCell ref="A53:B53"/>
    <mergeCell ref="G53:H53"/>
    <mergeCell ref="C46:D46"/>
    <mergeCell ref="C47:D47"/>
    <mergeCell ref="A48:B48"/>
    <mergeCell ref="C48:D48"/>
    <mergeCell ref="E48:G48"/>
    <mergeCell ref="A49:H49"/>
    <mergeCell ref="A38:B38"/>
    <mergeCell ref="C38:D38"/>
    <mergeCell ref="A39:B47"/>
    <mergeCell ref="C39:D39"/>
    <mergeCell ref="C40:D40"/>
    <mergeCell ref="C41:D41"/>
    <mergeCell ref="C42:D42"/>
    <mergeCell ref="C43:D43"/>
    <mergeCell ref="C44:D44"/>
    <mergeCell ref="C45:D45"/>
    <mergeCell ref="A35:B35"/>
    <mergeCell ref="C35:G35"/>
    <mergeCell ref="A36:D36"/>
    <mergeCell ref="F36:G36"/>
    <mergeCell ref="A37:D37"/>
    <mergeCell ref="F37:G37"/>
    <mergeCell ref="A32:B32"/>
    <mergeCell ref="C32:G32"/>
    <mergeCell ref="A33:B33"/>
    <mergeCell ref="C33:G33"/>
    <mergeCell ref="A34:B34"/>
    <mergeCell ref="C34:G34"/>
    <mergeCell ref="A28:G28"/>
    <mergeCell ref="A29:B29"/>
    <mergeCell ref="C29:G29"/>
    <mergeCell ref="A30:B30"/>
    <mergeCell ref="C30:G30"/>
    <mergeCell ref="A31:B31"/>
    <mergeCell ref="C31:G31"/>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6:B6"/>
    <mergeCell ref="C6:D6"/>
    <mergeCell ref="E6:F6"/>
    <mergeCell ref="G6:H6"/>
    <mergeCell ref="E8:F8"/>
    <mergeCell ref="A9:B9"/>
    <mergeCell ref="C9:D9"/>
    <mergeCell ref="E9:F9"/>
    <mergeCell ref="B1:H1"/>
    <mergeCell ref="A2:H2"/>
    <mergeCell ref="A3:H3"/>
    <mergeCell ref="A4:B4"/>
    <mergeCell ref="C4:D4"/>
    <mergeCell ref="A5:H5"/>
  </mergeCells>
  <pageMargins left="0.7" right="0.7" top="0.75" bottom="0.75" header="0.3" footer="0.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6" workbookViewId="0">
      <selection activeCell="D10" sqref="D10"/>
    </sheetView>
  </sheetViews>
  <sheetFormatPr baseColWidth="10" defaultColWidth="8.83203125" defaultRowHeight="14" x14ac:dyDescent="0"/>
  <cols>
    <col min="1" max="1" width="26.5" customWidth="1"/>
    <col min="2" max="2" width="14.83203125" customWidth="1"/>
    <col min="3" max="4" width="10.5" customWidth="1"/>
  </cols>
  <sheetData>
    <row r="1" spans="1:8">
      <c r="C1" t="s">
        <v>238</v>
      </c>
      <c r="D1" t="s">
        <v>238</v>
      </c>
      <c r="F1" t="s">
        <v>239</v>
      </c>
      <c r="H1" s="76">
        <v>0.02</v>
      </c>
    </row>
    <row r="2" spans="1:8">
      <c r="C2" t="s">
        <v>240</v>
      </c>
      <c r="D2" t="s">
        <v>241</v>
      </c>
    </row>
    <row r="3" spans="1:8">
      <c r="A3" t="s">
        <v>242</v>
      </c>
      <c r="B3" t="s">
        <v>243</v>
      </c>
    </row>
    <row r="4" spans="1:8">
      <c r="A4" t="s">
        <v>245</v>
      </c>
      <c r="B4" s="73">
        <v>1809.57</v>
      </c>
      <c r="C4" s="73">
        <f>+B4*24</f>
        <v>43429.68</v>
      </c>
      <c r="D4" s="73">
        <v>47500</v>
      </c>
    </row>
    <row r="5" spans="1:8">
      <c r="A5" t="s">
        <v>246</v>
      </c>
      <c r="B5" s="73">
        <v>1605.83</v>
      </c>
      <c r="C5" s="73">
        <f t="shared" ref="C5:C12" si="0">+B5*24</f>
        <v>38539.919999999998</v>
      </c>
      <c r="D5" s="73">
        <f>14*40*36</f>
        <v>20160</v>
      </c>
    </row>
    <row r="6" spans="1:8">
      <c r="A6" t="s">
        <v>247</v>
      </c>
      <c r="B6">
        <v>1860.82</v>
      </c>
      <c r="C6" s="73">
        <f t="shared" si="0"/>
        <v>44659.68</v>
      </c>
      <c r="D6" s="73">
        <v>47500</v>
      </c>
    </row>
    <row r="7" spans="1:8">
      <c r="A7" t="s">
        <v>256</v>
      </c>
      <c r="C7" s="73"/>
      <c r="D7" s="73">
        <v>47500</v>
      </c>
    </row>
    <row r="8" spans="1:8">
      <c r="A8" t="s">
        <v>257</v>
      </c>
      <c r="C8" s="73"/>
      <c r="D8" s="73">
        <v>47500</v>
      </c>
    </row>
    <row r="9" spans="1:8">
      <c r="A9" t="s">
        <v>267</v>
      </c>
      <c r="B9" s="73">
        <v>2230.3200000000002</v>
      </c>
      <c r="C9" s="73">
        <f t="shared" si="0"/>
        <v>53527.680000000008</v>
      </c>
      <c r="D9" s="73">
        <v>53794</v>
      </c>
    </row>
    <row r="10" spans="1:8">
      <c r="A10" t="s">
        <v>248</v>
      </c>
      <c r="B10" s="73">
        <v>2090.21</v>
      </c>
      <c r="C10" s="73">
        <f t="shared" si="0"/>
        <v>50165.04</v>
      </c>
      <c r="D10" s="73">
        <f t="shared" ref="D10" si="1">+C10*(1+$H$1)</f>
        <v>51168.340800000005</v>
      </c>
    </row>
    <row r="11" spans="1:8">
      <c r="A11" t="s">
        <v>249</v>
      </c>
      <c r="B11" s="73">
        <v>1932.64</v>
      </c>
      <c r="C11" s="73">
        <f t="shared" si="0"/>
        <v>46383.360000000001</v>
      </c>
      <c r="D11" s="73">
        <v>47500</v>
      </c>
    </row>
    <row r="12" spans="1:8">
      <c r="A12" t="s">
        <v>250</v>
      </c>
      <c r="B12" s="73">
        <v>1754.05</v>
      </c>
      <c r="C12" s="73">
        <f t="shared" si="0"/>
        <v>42097.2</v>
      </c>
      <c r="D12" s="73">
        <v>47500</v>
      </c>
    </row>
    <row r="13" spans="1:8">
      <c r="A13" t="s">
        <v>258</v>
      </c>
      <c r="B13" s="73"/>
      <c r="C13" s="73"/>
      <c r="D13" s="73">
        <f>14*35*36</f>
        <v>17640</v>
      </c>
    </row>
    <row r="14" spans="1:8">
      <c r="A14" t="s">
        <v>259</v>
      </c>
      <c r="B14" s="73"/>
      <c r="C14" s="73"/>
      <c r="D14" s="73">
        <f t="shared" ref="D14:D17" si="2">14*40*36</f>
        <v>20160</v>
      </c>
    </row>
    <row r="15" spans="1:8">
      <c r="A15" t="s">
        <v>260</v>
      </c>
      <c r="B15" s="73"/>
      <c r="C15" s="73"/>
      <c r="D15" s="73">
        <f t="shared" si="2"/>
        <v>20160</v>
      </c>
    </row>
    <row r="16" spans="1:8">
      <c r="A16" t="s">
        <v>261</v>
      </c>
      <c r="B16" s="73"/>
      <c r="C16" s="73"/>
      <c r="D16" s="73">
        <f t="shared" si="2"/>
        <v>20160</v>
      </c>
    </row>
    <row r="17" spans="1:4">
      <c r="A17" t="s">
        <v>262</v>
      </c>
      <c r="B17" s="73"/>
      <c r="C17" s="73"/>
      <c r="D17" s="73">
        <f t="shared" si="2"/>
        <v>20160</v>
      </c>
    </row>
    <row r="18" spans="1:4">
      <c r="A18" t="s">
        <v>263</v>
      </c>
      <c r="B18" s="74"/>
      <c r="C18" s="74"/>
      <c r="D18" s="74">
        <f>SUM(D4:D17)</f>
        <v>508402.34080000001</v>
      </c>
    </row>
    <row r="19" spans="1:4">
      <c r="B19" s="73"/>
    </row>
    <row r="20" spans="1:4">
      <c r="B20" s="73"/>
    </row>
    <row r="21" spans="1:4">
      <c r="B21" s="73"/>
    </row>
    <row r="22" spans="1:4">
      <c r="A22" t="s">
        <v>251</v>
      </c>
      <c r="B22">
        <v>3541.67</v>
      </c>
      <c r="C22" s="73">
        <f>+B22*24</f>
        <v>85000.08</v>
      </c>
      <c r="D22" s="73">
        <v>85000</v>
      </c>
    </row>
    <row r="23" spans="1:4">
      <c r="A23" t="s">
        <v>244</v>
      </c>
      <c r="B23" s="75"/>
      <c r="C23" s="74"/>
      <c r="D23" s="74">
        <f t="shared" ref="D23" si="3">+D22</f>
        <v>85000</v>
      </c>
    </row>
    <row r="24" spans="1:4">
      <c r="B24" s="75"/>
    </row>
    <row r="25" spans="1:4">
      <c r="B25" s="73"/>
    </row>
    <row r="26" spans="1:4">
      <c r="A26" t="s">
        <v>264</v>
      </c>
      <c r="B26" s="74"/>
      <c r="D26" s="73">
        <f>+D18+D23</f>
        <v>593402.34080000001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FEFP</vt:lpstr>
      <vt:lpstr>Salaries</vt:lpstr>
    </vt:vector>
  </TitlesOfParts>
  <Company>Amazon.com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Mestre</dc:creator>
  <cp:lastModifiedBy>Heather Fischer</cp:lastModifiedBy>
  <dcterms:created xsi:type="dcterms:W3CDTF">2020-07-23T16:07:50Z</dcterms:created>
  <dcterms:modified xsi:type="dcterms:W3CDTF">2020-08-11T16:17:12Z</dcterms:modified>
</cp:coreProperties>
</file>